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 DO 30 TYS EURO\POSTEPOWANIA 2019\badania laboratoryjne\"/>
    </mc:Choice>
  </mc:AlternateContent>
  <xr:revisionPtr revIDLastSave="0" documentId="13_ncr:1_{0E4DF20A-004D-4998-9F93-8D16E9E2C534}" xr6:coauthVersionLast="45" xr6:coauthVersionMax="45" xr10:uidLastSave="{00000000-0000-0000-0000-000000000000}"/>
  <bookViews>
    <workbookView xWindow="-120" yWindow="-120" windowWidth="29040" windowHeight="15840" tabRatio="848" firstSheet="3" activeTab="3" xr2:uid="{00000000-000D-0000-FFFF-FFFF00000000}"/>
  </bookViews>
  <sheets>
    <sheet name="OBIKS" sheetId="13" state="hidden" r:id="rId1"/>
    <sheet name="cz.I-środki 15_16" sheetId="8" state="hidden" r:id="rId2"/>
    <sheet name="ceny jednostkowe w umowach" sheetId="9" state="hidden" r:id="rId3"/>
    <sheet name="część I" sheetId="12" r:id="rId4"/>
    <sheet name="część II" sheetId="17" r:id="rId5"/>
  </sheets>
  <definedNames>
    <definedName name="_xlnm.Print_Area" localSheetId="3">'część I'!$A$1:$J$25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2" l="1"/>
  <c r="F16" i="12" l="1"/>
  <c r="H21" i="13" l="1"/>
  <c r="J32" i="13" l="1"/>
  <c r="H32" i="13"/>
  <c r="F32" i="13"/>
  <c r="K32" i="13" s="1"/>
  <c r="M32" i="13" s="1"/>
  <c r="J31" i="13"/>
  <c r="H31" i="13"/>
  <c r="F31" i="13"/>
  <c r="K31" i="13" s="1"/>
  <c r="M31" i="13" s="1"/>
  <c r="J30" i="13"/>
  <c r="H30" i="13"/>
  <c r="F30" i="13"/>
  <c r="K30" i="13" s="1"/>
  <c r="M30" i="13" s="1"/>
  <c r="J29" i="13"/>
  <c r="H29" i="13"/>
  <c r="F29" i="13"/>
  <c r="K29" i="13" s="1"/>
  <c r="M29" i="13" s="1"/>
  <c r="J28" i="13"/>
  <c r="H28" i="13"/>
  <c r="F28" i="13"/>
  <c r="K28" i="13" s="1"/>
  <c r="M28" i="13" s="1"/>
  <c r="J27" i="13"/>
  <c r="B53" i="13" s="1"/>
  <c r="H27" i="13"/>
  <c r="F27" i="13"/>
  <c r="K27" i="13" s="1"/>
  <c r="M27" i="13" s="1"/>
  <c r="J26" i="13"/>
  <c r="B52" i="13" s="1"/>
  <c r="H26" i="13"/>
  <c r="F26" i="13"/>
  <c r="K26" i="13" s="1"/>
  <c r="M26" i="13" s="1"/>
  <c r="J25" i="13"/>
  <c r="H25" i="13"/>
  <c r="F25" i="13"/>
  <c r="K25" i="13" s="1"/>
  <c r="M25" i="13" s="1"/>
  <c r="J24" i="13"/>
  <c r="B48" i="13" s="1"/>
  <c r="H24" i="13"/>
  <c r="F24" i="13"/>
  <c r="K24" i="13" s="1"/>
  <c r="M24" i="13" s="1"/>
  <c r="J23" i="13"/>
  <c r="H23" i="13"/>
  <c r="F23" i="13"/>
  <c r="K23" i="13" s="1"/>
  <c r="M23" i="13" s="1"/>
  <c r="J22" i="13"/>
  <c r="B45" i="13" s="1"/>
  <c r="H22" i="13"/>
  <c r="F22" i="13"/>
  <c r="K22" i="13" s="1"/>
  <c r="M22" i="13" s="1"/>
  <c r="J21" i="13"/>
  <c r="F21" i="13"/>
  <c r="K21" i="13" s="1"/>
  <c r="J13" i="13"/>
  <c r="F13" i="13"/>
  <c r="K13" i="13" s="1"/>
  <c r="M13" i="13" s="1"/>
  <c r="F12" i="13"/>
  <c r="K12" i="13" s="1"/>
  <c r="M12" i="13" s="1"/>
  <c r="F11" i="13"/>
  <c r="K11" i="13" s="1"/>
  <c r="M11" i="13" s="1"/>
  <c r="F10" i="13"/>
  <c r="K10" i="13" s="1"/>
  <c r="M10" i="13" s="1"/>
  <c r="F9" i="13"/>
  <c r="K9" i="13" s="1"/>
  <c r="M9" i="13" s="1"/>
  <c r="F8" i="13"/>
  <c r="K8" i="13" s="1"/>
  <c r="M8" i="13" s="1"/>
  <c r="F7" i="13"/>
  <c r="K7" i="13" s="1"/>
  <c r="M7" i="13" s="1"/>
  <c r="F6" i="13"/>
  <c r="K6" i="13" s="1"/>
  <c r="M6" i="13" s="1"/>
  <c r="B49" i="13" l="1"/>
  <c r="B43" i="13"/>
  <c r="B47" i="13"/>
  <c r="B51" i="13"/>
  <c r="B42" i="13"/>
  <c r="B50" i="13"/>
  <c r="J15" i="13"/>
  <c r="B46" i="13"/>
  <c r="M14" i="13"/>
  <c r="R8" i="13" s="1"/>
  <c r="K33" i="13"/>
  <c r="Q9" i="13" s="1"/>
  <c r="K14" i="13"/>
  <c r="Q8" i="13" s="1"/>
  <c r="B44" i="13"/>
  <c r="M21" i="13"/>
  <c r="M33" i="13" s="1"/>
  <c r="R9" i="13" s="1"/>
  <c r="R10" i="13" s="1"/>
  <c r="J34" i="13"/>
  <c r="Q10" i="13" l="1"/>
  <c r="S14" i="13" s="1"/>
  <c r="S15" i="13" s="1"/>
  <c r="T14" i="13"/>
  <c r="T15" i="13" s="1"/>
  <c r="R14" i="13"/>
  <c r="R15" i="13" s="1"/>
  <c r="R11" i="13"/>
  <c r="Q11" i="13" l="1"/>
  <c r="Q14" i="13"/>
  <c r="Q15" i="13" s="1"/>
  <c r="H28" i="8" l="1"/>
  <c r="H30" i="8"/>
  <c r="H23" i="8"/>
  <c r="H32" i="8"/>
  <c r="H27" i="8"/>
  <c r="L7" i="9" l="1"/>
  <c r="L8" i="9"/>
  <c r="L9" i="9"/>
  <c r="L10" i="9"/>
  <c r="L11" i="9"/>
  <c r="L12" i="9"/>
  <c r="L13" i="9"/>
  <c r="L14" i="9"/>
  <c r="L15" i="9"/>
  <c r="L16" i="9"/>
  <c r="L17" i="9"/>
  <c r="L6" i="9"/>
  <c r="J7" i="9"/>
  <c r="J8" i="9"/>
  <c r="J9" i="9"/>
  <c r="J10" i="9"/>
  <c r="J11" i="9"/>
  <c r="J12" i="9"/>
  <c r="J13" i="9"/>
  <c r="J14" i="9"/>
  <c r="J15" i="9"/>
  <c r="J16" i="9"/>
  <c r="J17" i="9"/>
  <c r="J6" i="9"/>
  <c r="H7" i="9"/>
  <c r="H8" i="9"/>
  <c r="H11" i="9"/>
  <c r="H12" i="9"/>
  <c r="H13" i="9"/>
  <c r="H14" i="9"/>
  <c r="H6" i="9"/>
  <c r="F22" i="8" l="1"/>
  <c r="F23" i="8"/>
  <c r="F24" i="8"/>
  <c r="F25" i="8"/>
  <c r="F26" i="8"/>
  <c r="F27" i="8"/>
  <c r="I27" i="8" s="1"/>
  <c r="F28" i="8"/>
  <c r="F29" i="8"/>
  <c r="F30" i="8"/>
  <c r="F31" i="8"/>
  <c r="F32" i="8"/>
  <c r="F21" i="8"/>
  <c r="F7" i="8"/>
  <c r="I7" i="8" s="1"/>
  <c r="F8" i="8"/>
  <c r="I8" i="8" s="1"/>
  <c r="F9" i="8"/>
  <c r="I9" i="8" s="1"/>
  <c r="F10" i="8"/>
  <c r="I10" i="8" s="1"/>
  <c r="F11" i="8"/>
  <c r="I11" i="8" s="1"/>
  <c r="F12" i="8"/>
  <c r="I12" i="8" s="1"/>
  <c r="F13" i="8"/>
  <c r="F6" i="8"/>
  <c r="I6" i="8" s="1"/>
  <c r="I30" i="8" l="1"/>
  <c r="H31" i="8"/>
  <c r="H29" i="8"/>
  <c r="K27" i="8"/>
  <c r="H26" i="8"/>
  <c r="I26" i="8" s="1"/>
  <c r="H25" i="8"/>
  <c r="H24" i="8"/>
  <c r="H22" i="8"/>
  <c r="I22" i="8" s="1"/>
  <c r="H21" i="8"/>
  <c r="I21" i="8" s="1"/>
  <c r="K7" i="8"/>
  <c r="K8" i="8"/>
  <c r="K9" i="8"/>
  <c r="K10" i="8"/>
  <c r="K11" i="8"/>
  <c r="K12" i="8"/>
  <c r="K6" i="8"/>
  <c r="I25" i="8" l="1"/>
  <c r="K25" i="8" s="1"/>
  <c r="I31" i="8"/>
  <c r="K31" i="8" s="1"/>
  <c r="K22" i="8"/>
  <c r="K26" i="8"/>
  <c r="K30" i="8"/>
  <c r="I23" i="8"/>
  <c r="K23" i="8" s="1"/>
  <c r="I29" i="8"/>
  <c r="K29" i="8" s="1"/>
  <c r="I24" i="8"/>
  <c r="I28" i="8"/>
  <c r="K28" i="8" s="1"/>
  <c r="I32" i="8"/>
  <c r="K32" i="8" s="1"/>
  <c r="K21" i="8"/>
  <c r="K24" i="8" l="1"/>
  <c r="K33" i="8" s="1"/>
  <c r="I33" i="8"/>
  <c r="H13" i="8"/>
  <c r="P9" i="8" l="1"/>
  <c r="O9" i="8"/>
  <c r="I13" i="8"/>
  <c r="K13" i="8" s="1"/>
  <c r="K14" i="8" s="1"/>
  <c r="P8" i="8" s="1"/>
  <c r="I14" i="8"/>
  <c r="O8" i="8" l="1"/>
  <c r="O10" i="8" s="1"/>
  <c r="O11" i="8" s="1"/>
  <c r="P10" i="8"/>
  <c r="P11" i="8" s="1"/>
</calcChain>
</file>

<file path=xl/sharedStrings.xml><?xml version="1.0" encoding="utf-8"?>
<sst xmlns="http://schemas.openxmlformats.org/spreadsheetml/2006/main" count="374" uniqueCount="151">
  <si>
    <t>suma</t>
  </si>
  <si>
    <t>Pobór próbek materiałów i kontrola ich składu chemicznego</t>
  </si>
  <si>
    <t>chlorek sodu (NaCl)</t>
  </si>
  <si>
    <t>kruszywo z pryzmy na bazie</t>
  </si>
  <si>
    <t>frakcja materiału uszorstniającego</t>
  </si>
  <si>
    <t>mieszanka piasku z chlorkiem sodu ze skrzyni na trasówce</t>
  </si>
  <si>
    <t>Odbiór próbek materiałów i kontrola ich składu chemicznego</t>
  </si>
  <si>
    <t>Badany parametr</t>
  </si>
  <si>
    <r>
      <t>chlorek wapnia (CaCl</t>
    </r>
    <r>
      <rPr>
        <vertAlign val="subscript"/>
        <sz val="8"/>
        <color theme="1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>)</t>
    </r>
  </si>
  <si>
    <t>mieszanka chlorku sodu z chlorkiem wapnia z jednostki sprzętowej z terenu m.st. Warszawy w czasie zleconych prac</t>
  </si>
  <si>
    <t>solanka z jednostki sprzętowej z terenu m.st. Warszawy w czasie zleconych prac</t>
  </si>
  <si>
    <t>euro</t>
  </si>
  <si>
    <t>Wartość prac bez VAT</t>
  </si>
  <si>
    <t>Rodzaj prac</t>
  </si>
  <si>
    <t>Rodzaj badanego materiału</t>
  </si>
  <si>
    <t>Stawka VAT (%)</t>
  </si>
  <si>
    <t>Wartość prac z VAT</t>
  </si>
  <si>
    <t>Liczba próbek</t>
  </si>
  <si>
    <t>Lp.</t>
  </si>
  <si>
    <t>chlorek sodu z jednostki sprzętowej 
z terenu m. st. Warszawy w czasie zleconych prac</t>
  </si>
  <si>
    <t>solanka na bazie ze stacji solankowej/ jednostki sprzętowej</t>
  </si>
  <si>
    <t>KALKULACJA KOSZTÓW 
wykonania badań laboratoryjnych</t>
  </si>
  <si>
    <t>*Finansowanie ze środków interwencyjnego pogotowia oczyszczania.</t>
  </si>
  <si>
    <t>liczba jedn. sprzęt. X 1 próbka X 2 razy w czasie umowy (160 X1 X 2 = 320)</t>
  </si>
  <si>
    <t>solanka z jednostki sprzętowej z terenu m.st. Warszawy w czasie zleconych prac*</t>
  </si>
  <si>
    <t>liczba baz X 1 próbka X 1 raz w czasie umowy + liczba rej. X2 próbki X1 raz w czasie umowy 
(10 X1 X1 + 15X2X1=40)</t>
  </si>
  <si>
    <t>solanka na bazie/jednostki sprzętowej z terenu m.st. Warszawy *</t>
  </si>
  <si>
    <t>solanka na bazie/jednostki sprzętowej z terenu m.st. Warszawy</t>
  </si>
  <si>
    <t>cz. I</t>
  </si>
  <si>
    <t>Wartość prac 
bez VAT</t>
  </si>
  <si>
    <t>Wartość prac
z VAT</t>
  </si>
  <si>
    <t>liczba baz X 1 próbka X 1 raz w czasie umowy + liczba rej. X 1 jedn. (10 X1 X1 + 15 X1 = 25)</t>
  </si>
  <si>
    <t>liczba baz X 1 próbka X 1 razy w czasie umowy
(10 X1 X1= 10)</t>
  </si>
  <si>
    <t>liczba baz X 1 próbka X 1 razy w czasie umowy + liczba rej. X 2 próbki X 1 razy w czasie umowy 
(10 X1 X1 + 15 X2 X1 = 40)</t>
  </si>
  <si>
    <t>baza IPO X 1 próbka X1 raz w czasie umowy  (1X1X1=1)</t>
  </si>
  <si>
    <t>baza IPO X 1 próbka X3 razy w czasie umowy + liczba jed. sprzet. X1 probka X1 raz w czasie umowy (1 X1 X3 + 1 X1 X1 = 4)</t>
  </si>
  <si>
    <t>liczba rej.z krusz. X1 próbka  X1 raz w czasie umowy (4 X1 X 1 = 4)</t>
  </si>
  <si>
    <t>liczba rej. X2jedn. X1 próbka X1 razy w czasie umowy (15 X2 X1 X1 = 30)</t>
  </si>
  <si>
    <t>liczba rej. X 2 jedn. X 1 próbka  X 1 raz w czasie umowy (15 X2 X1 X1 = 30)</t>
  </si>
  <si>
    <t>liczba jedn. sprzęt. X1 próbka X 2 razy w czasie umowy (1X 1X 2 = 2)</t>
  </si>
  <si>
    <t>liczba jedn. sprzęt. X1 próbka X 1 razy w czasie umowy (1X 1X 1 = 1)</t>
  </si>
  <si>
    <t>liczba baz X 1 próbka X 5 razy w czasie umowy + liczba jedn. sprzęt. X 1 próbka
(10 X1 X5 + 160 X1= 210)</t>
  </si>
  <si>
    <t>środki chem. 2015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</si>
  <si>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rej. X 1 jedn. (10 X1 X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>+ 15 X1 = 55)</t>
    </r>
  </si>
  <si>
    <r>
      <t xml:space="preserve">liczba rej. X 2 jedn. X 1 próbka  X </t>
    </r>
    <r>
      <rPr>
        <b/>
        <sz val="8"/>
        <color rgb="FFFF0000"/>
        <rFont val="Century Gothic"/>
        <family val="2"/>
        <charset val="238"/>
      </rPr>
      <t xml:space="preserve">3 </t>
    </r>
    <r>
      <rPr>
        <sz val="8"/>
        <color theme="1"/>
        <rFont val="Century Gothic"/>
        <family val="2"/>
        <charset val="238"/>
      </rPr>
      <t>razy w czasie umowy (15 X2 X1 X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= 120)</t>
    </r>
  </si>
  <si>
    <t>Cena jednostkowa zł/netto</t>
  </si>
  <si>
    <t>chlorek sodu z pryzmy na bazie / jednostki sprzętowej 
z terenu m. st. Warszawy w czasie zleconych prac</t>
  </si>
  <si>
    <t>mieszanka chlorku sodu z chlorkiem wapnia z pryzmy na bazie / jednostki sprzętowej z terenu m. st. Warszawy 
w czasie zleconych prac</t>
  </si>
  <si>
    <t>solanka z jednostki sprzętowej z terenu m.st. Warszawy 
w czasie zleconych prac</t>
  </si>
  <si>
    <t>Cena jednostkowa bez VAT</t>
  </si>
  <si>
    <t>Załącznik nr 1
do wniosku finansowego nr …….</t>
  </si>
  <si>
    <t>KALKULACJA KOSZTÓW - CZĘŚĆ I zamówienia
wykonania badań laboratoryjnych próbek środków do zwalczania śliskości zimowej w m.st. Warszawa w 2015 r.</t>
  </si>
  <si>
    <t>CENY BADAŃ WG UMOWY 152/14/TOM-168W</t>
  </si>
  <si>
    <t>środki chem. 2016</t>
  </si>
  <si>
    <t>15.10.2014 - 30.11.2015</t>
  </si>
  <si>
    <t xml:space="preserve">Umowa nr 05/13/TOM-02W z 03.01.2013 r. </t>
  </si>
  <si>
    <t>brak w umowie</t>
  </si>
  <si>
    <t>03.01.2013 - 30.11.2013</t>
  </si>
  <si>
    <t>UMOWY 152/14/TOM-168W z 15.10.2014 r.</t>
  </si>
  <si>
    <r>
      <rPr>
        <b/>
        <sz val="8"/>
        <color rgb="FFFF0000"/>
        <rFont val="Century Gothic"/>
        <family val="2"/>
        <charset val="238"/>
      </rPr>
      <t>chlorek sodu</t>
    </r>
    <r>
      <rPr>
        <sz val="8"/>
        <color theme="1"/>
        <rFont val="Century Gothic"/>
        <family val="2"/>
        <charset val="238"/>
      </rPr>
      <t xml:space="preserve"> z pryzmy na bazie / jednostki sprzętowej z terenu m. st. Warszawy w czasie zleconych prac</t>
    </r>
  </si>
  <si>
    <r>
      <rPr>
        <b/>
        <sz val="8"/>
        <color rgb="FF00B050"/>
        <rFont val="Century Gothic"/>
        <family val="2"/>
        <charset val="238"/>
      </rPr>
      <t>mieszanka chlorku sodu</t>
    </r>
    <r>
      <rPr>
        <sz val="8"/>
        <color theme="1"/>
        <rFont val="Century Gothic"/>
        <family val="2"/>
        <charset val="238"/>
      </rPr>
      <t xml:space="preserve"> z chlorkiem wapnia z pryzmy na bazie / jednostki sprzętowej z terenu m. st. Warszawy w czasie zleconych prac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</si>
  <si>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rgb="FF000000"/>
        <rFont val="Century Gothic"/>
        <family val="2"/>
        <charset val="238"/>
      </rPr>
      <t>na bazie ze stacji solankowej/ jednostki sprzętowej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</si>
  <si>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theme="1"/>
        <rFont val="Century Gothic"/>
        <family val="2"/>
        <charset val="238"/>
      </rPr>
      <t>na bazie/jednostki sprzętowej z terenu m.st. Warszawy</t>
    </r>
  </si>
  <si>
    <r>
      <rPr>
        <b/>
        <sz val="8"/>
        <color rgb="FF7030A0"/>
        <rFont val="Century Gothic"/>
        <family val="2"/>
        <charset val="238"/>
      </rPr>
      <t>kruszywo</t>
    </r>
    <r>
      <rPr>
        <sz val="8"/>
        <color theme="1"/>
        <rFont val="Century Gothic"/>
        <family val="2"/>
        <charset val="238"/>
      </rPr>
      <t xml:space="preserve"> z pryzmy na bazie</t>
    </r>
  </si>
  <si>
    <r>
      <rPr>
        <b/>
        <sz val="8"/>
        <color theme="2" tint="-0.499984740745262"/>
        <rFont val="Century Gothic"/>
        <family val="2"/>
        <charset val="238"/>
      </rPr>
      <t>mieszanka piasku z chlorkiem sodu</t>
    </r>
    <r>
      <rPr>
        <sz val="8"/>
        <color theme="1"/>
        <rFont val="Century Gothic"/>
        <family val="2"/>
        <charset val="238"/>
      </rPr>
      <t xml:space="preserve"> ze skrzyni na trasówce</t>
    </r>
  </si>
  <si>
    <r>
      <rPr>
        <b/>
        <sz val="8"/>
        <color rgb="FFFF0000"/>
        <rFont val="Century Gothic"/>
        <family val="2"/>
        <charset val="238"/>
      </rPr>
      <t>chlorek sodu</t>
    </r>
    <r>
      <rPr>
        <sz val="8"/>
        <color theme="1"/>
        <rFont val="Century Gothic"/>
        <family val="2"/>
        <charset val="238"/>
      </rPr>
      <t xml:space="preserve"> z jednostki sprzętowej 
z terenu m. st. Warszawy w czasie zleconych prac</t>
    </r>
  </si>
  <si>
    <r>
      <rPr>
        <b/>
        <sz val="8"/>
        <color rgb="FF00B050"/>
        <rFont val="Century Gothic"/>
        <family val="2"/>
        <charset val="238"/>
      </rPr>
      <t>mieszanka chlorku sodu</t>
    </r>
    <r>
      <rPr>
        <sz val="8"/>
        <color theme="1"/>
        <rFont val="Century Gothic"/>
        <family val="2"/>
        <charset val="238"/>
      </rPr>
      <t xml:space="preserve"> z chlorkiem wapnia z jednostki sprzętowej z terenu m.st. Warszawy w czasie zleconych prac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</si>
  <si>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theme="1"/>
        <rFont val="Century Gothic"/>
        <family val="2"/>
        <charset val="238"/>
      </rPr>
      <t>z jednostki sprzętowej z terenu m.st. Warszawy w czasie zleconych prac</t>
    </r>
  </si>
  <si>
    <r>
      <rPr>
        <b/>
        <sz val="8"/>
        <color rgb="FF0070C0"/>
        <rFont val="Century Gothic"/>
        <family val="2"/>
        <charset val="238"/>
      </rPr>
      <t>solanka</t>
    </r>
    <r>
      <rPr>
        <sz val="8"/>
        <rFont val="Century Gothic"/>
        <family val="2"/>
        <charset val="238"/>
      </rPr>
      <t xml:space="preserve"> z jednostki sprzętowej z terenu m.st. Warszawy w czasie zleconych prac</t>
    </r>
  </si>
  <si>
    <t>Cena jednostkowa zł/brutto</t>
  </si>
  <si>
    <t>szacunkowy koszt do umowy 2015/2016</t>
  </si>
  <si>
    <t>15.10.2014 - 30.11.2016</t>
  </si>
  <si>
    <t>Cena jednostkowa zł/nbrutto</t>
  </si>
  <si>
    <t>15.10.2015 - 30.11.2016</t>
  </si>
  <si>
    <t>KALKULACJA KOSZTÓW - CZĘŚĆ I zamówienia
wykonania badań laboratoryjnych próbek środków do zwalczania śliskości zimowej w m.st. Warszawa w 2016 r.</t>
  </si>
  <si>
    <t>kosze 2016</t>
  </si>
  <si>
    <t>liczba rej. X1 trasa X 4 probki  (14 X1 X4 = 56)</t>
  </si>
  <si>
    <t>stare</t>
  </si>
  <si>
    <t>nowe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</si>
  <si>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razy w czasie umowy + liczba rej. X 1 jedn. (10 X1 X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>+ 15 X1 = 35)</t>
    </r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</si>
  <si>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5</t>
    </r>
    <r>
      <rPr>
        <sz val="8"/>
        <color theme="1"/>
        <rFont val="Century Gothic"/>
        <family val="2"/>
        <charset val="238"/>
      </rPr>
      <t xml:space="preserve"> razy w czasie umowy + liczba jedn. sprzęt. X 1 próbka
(10 X1 X5 + 160 X1= 200)</t>
    </r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</si>
  <si>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jedn. sprzęt. X 1 próbka
(10 X1 X4 + 160 X1= 200)</t>
    </r>
  </si>
  <si>
    <t>liczba jedn. sprzęt. X1 próbka X 1 raz w czasie umowy (1X 1X 1 = 1)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</si>
  <si>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razy w czasie umowy + liczba rej.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próbki X</t>
    </r>
    <r>
      <rPr>
        <b/>
        <sz val="8"/>
        <color theme="1"/>
        <rFont val="Century Gothic"/>
        <family val="2"/>
        <charset val="238"/>
      </rPr>
      <t xml:space="preserve"> 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razy w czasie umowy 
(10 X1 X3 + 15 X2 X3 = 120)</t>
    </r>
  </si>
  <si>
    <r>
      <t>liczba rej. X2jedn. X1 próbka X</t>
    </r>
    <r>
      <rPr>
        <b/>
        <sz val="8"/>
        <color rgb="FFFF0000"/>
        <rFont val="Century Gothic"/>
        <family val="2"/>
        <charset val="238"/>
      </rPr>
      <t>5</t>
    </r>
    <r>
      <rPr>
        <sz val="8"/>
        <color theme="1"/>
        <rFont val="Century Gothic"/>
        <family val="2"/>
        <charset val="238"/>
      </rPr>
      <t xml:space="preserve"> razy w czasie umowy (15 X2 X1 X5 = 150)</t>
    </r>
  </si>
  <si>
    <r>
      <t>liczba rej. X2jedn. X1 próbka X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(15 X2 X1 X4 = 120)</t>
    </r>
  </si>
  <si>
    <r>
      <t xml:space="preserve">liczba rej. X 2 jedn. X 1 próbka  X </t>
    </r>
    <r>
      <rPr>
        <b/>
        <sz val="8"/>
        <color rgb="FFFF0000"/>
        <rFont val="Century Gothic"/>
        <family val="2"/>
        <charset val="238"/>
      </rPr>
      <t xml:space="preserve">2 </t>
    </r>
    <r>
      <rPr>
        <sz val="8"/>
        <color theme="1"/>
        <rFont val="Century Gothic"/>
        <family val="2"/>
        <charset val="238"/>
      </rPr>
      <t>razy w czasie umowy (15 X2 X1 X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= 60)</t>
    </r>
  </si>
  <si>
    <r>
      <t xml:space="preserve">liczba jedn. sprzęt. X 1 próbka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razy w czasie umowy (160 X1 X 2 = 320)</t>
    </r>
  </si>
  <si>
    <r>
      <t xml:space="preserve">liczba jedn. sprzęt. X 1 próbka X </t>
    </r>
    <r>
      <rPr>
        <b/>
        <sz val="8"/>
        <color rgb="FFFF0000"/>
        <rFont val="Century Gothic"/>
        <family val="2"/>
        <charset val="238"/>
      </rPr>
      <t>1</t>
    </r>
    <r>
      <rPr>
        <sz val="8"/>
        <color theme="1"/>
        <rFont val="Century Gothic"/>
        <family val="2"/>
        <charset val="238"/>
      </rPr>
      <t xml:space="preserve"> razz w czasie umowy (160 X1 X 1 = 160)</t>
    </r>
  </si>
  <si>
    <t>chlorek sodu z pryzmy na bazie</t>
  </si>
  <si>
    <t>mieszanka chlorku sodu z chlorkiem wapnia z pryzmy na bazie</t>
  </si>
  <si>
    <t>mieszanka chlorku sodu z chlorkiem wapnia  jednostki sprzętowej z terenu m. st. Warszawy 
w czasie zleconych prac</t>
  </si>
  <si>
    <t>chlorek sodu jednostki sprzętowej z terenu m. st. Warszawy w czasie zleconych prac</t>
  </si>
  <si>
    <t>solanka na bazie ze stacji solankowej (chlorek sodu)</t>
  </si>
  <si>
    <t>solanka na bazie (chlorek wapnia-IPO)*</t>
  </si>
  <si>
    <t>solanka z jednostki sprzętowej z terenu m.st. Warszawy  (chlorek wapnia-IPO)*</t>
  </si>
  <si>
    <t>solanka z jednostki sprzętowej z terenu m.st. Warszawy (chlorek wapnia)</t>
  </si>
  <si>
    <t>solanka z jednostki sprzętowej  (chlorek sodu)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</si>
  <si>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rej.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próbki X</t>
    </r>
    <r>
      <rPr>
        <b/>
        <sz val="8"/>
        <color theme="1"/>
        <rFont val="Century Gothic"/>
        <family val="2"/>
        <charset val="238"/>
      </rPr>
      <t xml:space="preserve">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(10 X1 X4 + 15 X2 X4 = 160)</t>
    </r>
  </si>
  <si>
    <r>
      <t>chlorek wapnia (CaCl</t>
    </r>
    <r>
      <rPr>
        <vertAlign val="subscript"/>
        <sz val="8"/>
        <color theme="9" tint="-0.249977111117893"/>
        <rFont val="Century Gothic"/>
        <family val="2"/>
        <charset val="238"/>
      </rPr>
      <t>2</t>
    </r>
    <r>
      <rPr>
        <sz val="8"/>
        <color theme="9" tint="-0.249977111117893"/>
        <rFont val="Century Gothic"/>
        <family val="2"/>
        <charset val="238"/>
      </rPr>
      <t>)</t>
    </r>
  </si>
  <si>
    <t>solanka na bazie ze stacji solankowej (chlorek wapnia)</t>
  </si>
  <si>
    <t>ZAMÓWIENIE 2015/2016</t>
  </si>
  <si>
    <t>BEZ ZMIANY LICZBY PRÓBEK PRZY ZAŁOŻONYM 20% wzroście ceny w stosunku do poprzedniej umowy</t>
  </si>
  <si>
    <t>CENY BADAŃ WG ZAPYTANIA OFERTOWEGO 2014</t>
  </si>
  <si>
    <t>Liczba próbek - załozenie do zamówienia 2015/2016</t>
  </si>
  <si>
    <t>liczba rej. X2jedn. X1 próbka X5 razy w czasie umowy (15 X2 X1 X5 = 150)</t>
  </si>
  <si>
    <t>liczba baz X 1 próbka X 4 razy w czasie umowy + liczba rej. X 1 jedn. (10 X1 X4+ 15 X1 = 55)</t>
  </si>
  <si>
    <t>liczba baz X 1 próbka X 4 razy w czasie umowy + liczba rej. X 2 próbki X 4 razy w czasie umowy 
(10 X1 X4 + 15 X2 X4 = 160)</t>
  </si>
  <si>
    <t>liczba rej. X 2 jedn. X 1 próbka  X 3 razy w czasie umowy (15 X2 X1 X3 = 120)</t>
  </si>
  <si>
    <t>Liczba próbek - z umowy 152/14/TOM-186W z firmą JARS</t>
  </si>
  <si>
    <t>Ceny z oferty Ośrodka Badań i Kontroli Środowiska z 22.09.2014 r.-liczba próbek zmniejszona w stosunku do umowy 152/14/TOM-186W z firmą JARS w sezonie 2014/2015
-cena nie posidała kosztów pośrednich - wysyłki próbek, oferta tylko gdy ZOM pobiera próbki</t>
  </si>
  <si>
    <t xml:space="preserve"> gleba 2016 (40 prób)</t>
  </si>
  <si>
    <t>solanka z jednostki sprzętowej z terenu m.st. Warszawy w czasie zleconych prac</t>
  </si>
  <si>
    <t>chlorek sodu z jednostki sprzętowej z terenu m. st. Warszawy w czasie zleconych prac</t>
  </si>
  <si>
    <t>mieszanka piasku z chlorkiem sodu ze skrzyń rozstawionych na terenie m.st. Warszawy</t>
  </si>
  <si>
    <t>mieszanka chlorku sodu z chlorkiem wapnia z pryzmy na bazie / jednostki sprzętowej na bazie lub z  terenu m. st. Warszawy w czasie zleconych prac</t>
  </si>
  <si>
    <t>solanka na bazie ze stacji solankowej/ jednostki sprzętowej na bazie lub z terenu m. st. Warszawy w czasie zleconych prac</t>
  </si>
  <si>
    <t xml:space="preserve">Cena jednostkowa 
bez VAT </t>
  </si>
  <si>
    <t>KOSZTORYS - CZĘŚĆ I ZAMÓWIENIA</t>
  </si>
  <si>
    <t>mieszanka piasku z chlorkiem sodu z pryzmy na bazie / jednostki sprzętowej na bazie</t>
  </si>
  <si>
    <t>Cena ofertowa</t>
  </si>
  <si>
    <t>a</t>
  </si>
  <si>
    <t>b</t>
  </si>
  <si>
    <t>c</t>
  </si>
  <si>
    <t>d</t>
  </si>
  <si>
    <t>e</t>
  </si>
  <si>
    <t>f</t>
  </si>
  <si>
    <t>h</t>
  </si>
  <si>
    <t>g=e*f</t>
  </si>
  <si>
    <t>KOSZTORYS - CZĘŚĆ II ZAMÓWIENIA</t>
  </si>
  <si>
    <t>e=c*d</t>
  </si>
  <si>
    <t>i=g*1,23</t>
  </si>
  <si>
    <t>Załącznik nr 1
do formularza ofertowego</t>
  </si>
  <si>
    <t>g=e*1,23</t>
  </si>
  <si>
    <t>Załącznik nr 2
do formularza ofertowego</t>
  </si>
  <si>
    <t>Badanie składu granulometrycznego 
i morfologicznego odpadów 
z koszy ulicznych</t>
  </si>
  <si>
    <t xml:space="preserve">Wartość prac 
bez VAT </t>
  </si>
  <si>
    <r>
      <t>chlorek wapnia (CaCl</t>
    </r>
    <r>
      <rPr>
        <vertAlign val="sub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>)</t>
    </r>
  </si>
  <si>
    <r>
      <t>chlorek wapnia (CaCl</t>
    </r>
    <r>
      <rPr>
        <vertAlign val="sub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)</t>
    </r>
  </si>
  <si>
    <t>chlorek sodu z pryzmy na bazie / jednostki sprzętowej na bazie lub 
z terenu m. st. Warszawy w czasie zleconych prac</t>
  </si>
  <si>
    <t>solanka na bazie/jednostki sprzętowej na bazie lub z terenu 
m. st. Warszawy w czasie zleconych prac</t>
  </si>
  <si>
    <t>mieszanka chlorku sodu z chlorkiem wapnia z jednostki sprzętowej 
z terenu m.st. Warszawy w czasie zleconych prac</t>
  </si>
  <si>
    <r>
      <t xml:space="preserve">                                               (miejscowość)                                                                        ( </t>
    </r>
    <r>
      <rPr>
        <vertAlign val="superscript"/>
        <sz val="8"/>
        <color rgb="FF000000"/>
        <rFont val="Calibri"/>
        <family val="2"/>
        <charset val="238"/>
      </rPr>
      <t>data)</t>
    </r>
    <r>
      <rPr>
        <vertAlign val="superscript"/>
        <sz val="9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(</t>
    </r>
    <r>
      <rPr>
        <vertAlign val="superscript"/>
        <sz val="8"/>
        <color rgb="FF000000"/>
        <rFont val="Calibri"/>
        <family val="2"/>
        <charset val="238"/>
      </rPr>
      <t xml:space="preserve">podpis uprawnionego(-ych) przedstawiciela(-li) firmy  wykonawcy) </t>
    </r>
  </si>
  <si>
    <t xml:space="preserve">              ……....….................................                       .............................</t>
  </si>
  <si>
    <t>…....................................................................................</t>
  </si>
  <si>
    <t xml:space="preserve">Podpis uprawnionego Przedstawiciela Wykonawcy </t>
  </si>
  <si>
    <t xml:space="preserve">           Podpis uprawnionego Przedstawiciela Wykonawcy </t>
  </si>
  <si>
    <t xml:space="preserve">                    Miejscowość</t>
  </si>
  <si>
    <t xml:space="preserve">      …....................................................................................</t>
  </si>
  <si>
    <t xml:space="preserve">           Data</t>
  </si>
  <si>
    <t xml:space="preserve">                     Miejscowość                                               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</si>
</sst>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€-2]\ #,##0.00"/>
  </numFmts>
  <fonts count="5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vertAlign val="subscript"/>
      <sz val="8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10"/>
      <color theme="1"/>
      <name val="Czcionka tekstu podstawowego"/>
      <charset val="238"/>
    </font>
    <font>
      <sz val="8"/>
      <color rgb="FF000000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b/>
      <sz val="8"/>
      <color theme="1"/>
      <name val="Czcionka tekstu podstawowego"/>
      <charset val="238"/>
    </font>
    <font>
      <sz val="8"/>
      <color rgb="FF0070C0"/>
      <name val="Century Gothic"/>
      <family val="2"/>
      <charset val="238"/>
    </font>
    <font>
      <sz val="8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8"/>
      <color rgb="FF00B050"/>
      <name val="Century Gothic"/>
      <family val="2"/>
      <charset val="238"/>
    </font>
    <font>
      <b/>
      <sz val="8"/>
      <color rgb="FF0070C0"/>
      <name val="Century Gothic"/>
      <family val="2"/>
      <charset val="238"/>
    </font>
    <font>
      <b/>
      <sz val="8"/>
      <color rgb="FF7030A0"/>
      <name val="Century Gothic"/>
      <family val="2"/>
      <charset val="238"/>
    </font>
    <font>
      <b/>
      <sz val="8"/>
      <color theme="2" tint="-0.499984740745262"/>
      <name val="Century Gothic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8"/>
      <color theme="9" tint="-0.249977111117893"/>
      <name val="Century Gothic"/>
      <family val="2"/>
      <charset val="238"/>
    </font>
    <font>
      <vertAlign val="subscript"/>
      <sz val="8"/>
      <color theme="9" tint="-0.249977111117893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sz val="8"/>
      <color theme="0"/>
      <name val="Czcionka tekstu podstawowego"/>
      <family val="2"/>
      <charset val="238"/>
    </font>
    <font>
      <b/>
      <sz val="9"/>
      <color theme="0"/>
      <name val="Century Gothic"/>
      <family val="2"/>
      <charset val="238"/>
    </font>
    <font>
      <b/>
      <sz val="9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vertAlign val="subscript"/>
      <sz val="8"/>
      <color theme="1"/>
      <name val="Times New Roman"/>
      <family val="1"/>
      <charset val="238"/>
    </font>
    <font>
      <vertAlign val="subscript"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93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8" fontId="2" fillId="0" borderId="0" xfId="0" applyNumberFormat="1" applyFont="1" applyFill="1"/>
    <xf numFmtId="0" fontId="8" fillId="0" borderId="0" xfId="0" applyFont="1"/>
    <xf numFmtId="0" fontId="3" fillId="0" borderId="5" xfId="0" applyFont="1" applyBorder="1" applyAlignment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20" fillId="0" borderId="10" xfId="0" applyFont="1" applyBorder="1"/>
    <xf numFmtId="0" fontId="20" fillId="0" borderId="1" xfId="0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/>
    <xf numFmtId="0" fontId="3" fillId="0" borderId="0" xfId="0" applyFont="1" applyBorder="1"/>
    <xf numFmtId="0" fontId="3" fillId="0" borderId="10" xfId="0" applyFont="1" applyBorder="1"/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2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165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3" fillId="0" borderId="0" xfId="0" applyFont="1" applyAlignment="1">
      <alignment vertical="top"/>
    </xf>
    <xf numFmtId="0" fontId="5" fillId="6" borderId="1" xfId="0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left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39" fillId="0" borderId="0" xfId="0" applyFont="1"/>
    <xf numFmtId="0" fontId="42" fillId="0" borderId="0" xfId="0" applyFont="1"/>
    <xf numFmtId="0" fontId="42" fillId="0" borderId="0" xfId="0" applyFont="1" applyBorder="1"/>
    <xf numFmtId="0" fontId="42" fillId="0" borderId="0" xfId="0" applyFont="1" applyBorder="1" applyAlignment="1"/>
    <xf numFmtId="9" fontId="40" fillId="0" borderId="0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9" fontId="46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164" fontId="40" fillId="0" borderId="15" xfId="0" applyNumberFormat="1" applyFont="1" applyFill="1" applyBorder="1" applyAlignment="1">
      <alignment horizontal="center" vertical="center"/>
    </xf>
    <xf numFmtId="9" fontId="46" fillId="0" borderId="15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39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/>
    <xf numFmtId="0" fontId="54" fillId="7" borderId="0" xfId="0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164" fontId="50" fillId="7" borderId="1" xfId="0" applyNumberFormat="1" applyFont="1" applyFill="1" applyBorder="1" applyAlignment="1">
      <alignment horizontal="center" vertical="center"/>
    </xf>
    <xf numFmtId="9" fontId="46" fillId="7" borderId="1" xfId="0" applyNumberFormat="1" applyFont="1" applyFill="1" applyBorder="1" applyAlignment="1">
      <alignment horizontal="center" vertical="center" wrapText="1"/>
    </xf>
    <xf numFmtId="164" fontId="50" fillId="7" borderId="1" xfId="0" applyNumberFormat="1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vertical="center" wrapText="1"/>
    </xf>
    <xf numFmtId="0" fontId="42" fillId="7" borderId="15" xfId="0" applyFont="1" applyFill="1" applyBorder="1" applyAlignment="1">
      <alignment horizontal="center" vertical="center" wrapText="1"/>
    </xf>
    <xf numFmtId="164" fontId="50" fillId="7" borderId="15" xfId="0" applyNumberFormat="1" applyFont="1" applyFill="1" applyBorder="1" applyAlignment="1">
      <alignment horizontal="center" vertical="center"/>
    </xf>
    <xf numFmtId="9" fontId="46" fillId="7" borderId="1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center" vertical="center" wrapText="1"/>
    </xf>
    <xf numFmtId="44" fontId="14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colors>
    <mruColors>
      <color rgb="FFEFECB3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3F7B9"/>
  </sheetPr>
  <dimension ref="A1:T59"/>
  <sheetViews>
    <sheetView showGridLines="0" topLeftCell="H4" zoomScaleNormal="100" workbookViewId="0">
      <selection activeCell="T9" sqref="T9"/>
    </sheetView>
  </sheetViews>
  <sheetFormatPr defaultRowHeight="14.25"/>
  <cols>
    <col min="1" max="1" width="4.375" customWidth="1"/>
    <col min="2" max="2" width="11.375" customWidth="1"/>
    <col min="3" max="3" width="37" customWidth="1"/>
    <col min="4" max="4" width="14.125" bestFit="1" customWidth="1"/>
    <col min="5" max="5" width="15.5" customWidth="1"/>
    <col min="6" max="6" width="13.125" customWidth="1"/>
    <col min="7" max="7" width="28.875" customWidth="1"/>
    <col min="8" max="8" width="7.75" customWidth="1"/>
    <col min="9" max="9" width="33.125" customWidth="1"/>
    <col min="10" max="10" width="9.75" customWidth="1"/>
    <col min="11" max="13" width="10.75" style="3" customWidth="1"/>
    <col min="14" max="14" width="13.875" customWidth="1"/>
    <col min="16" max="16" width="20.375" customWidth="1"/>
    <col min="17" max="17" width="16.125" customWidth="1"/>
    <col min="18" max="18" width="19.375" customWidth="1"/>
    <col min="19" max="19" width="10.875" customWidth="1"/>
    <col min="20" max="20" width="13.125" customWidth="1"/>
  </cols>
  <sheetData>
    <row r="1" spans="1:20" ht="59.25" customHeight="1">
      <c r="A1" s="152" t="s">
        <v>110</v>
      </c>
      <c r="B1" s="152"/>
      <c r="C1" s="152"/>
      <c r="D1" s="152"/>
      <c r="E1" s="152"/>
      <c r="F1" s="152"/>
      <c r="G1" s="152"/>
      <c r="H1" s="152"/>
      <c r="I1" s="152"/>
      <c r="J1" s="2"/>
      <c r="K1" s="45"/>
      <c r="L1" s="169" t="s">
        <v>50</v>
      </c>
      <c r="M1" s="169"/>
      <c r="N1" s="45"/>
    </row>
    <row r="2" spans="1:20" ht="26.25" customHeight="1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47"/>
      <c r="O2" s="47"/>
      <c r="P2" s="47"/>
      <c r="Q2" s="47"/>
    </row>
    <row r="3" spans="1:20" ht="42.75" customHeight="1">
      <c r="A3" s="2"/>
      <c r="B3" s="2"/>
      <c r="C3" s="2"/>
      <c r="D3" s="17"/>
      <c r="E3" s="92" t="s">
        <v>103</v>
      </c>
      <c r="F3" s="91" t="s">
        <v>101</v>
      </c>
      <c r="G3" s="170" t="s">
        <v>77</v>
      </c>
      <c r="H3" s="170"/>
      <c r="I3" s="64" t="s">
        <v>78</v>
      </c>
      <c r="J3" s="2"/>
    </row>
    <row r="4" spans="1:20" ht="21.75" customHeight="1">
      <c r="A4" s="155" t="s">
        <v>18</v>
      </c>
      <c r="B4" s="156" t="s">
        <v>13</v>
      </c>
      <c r="C4" s="155" t="s">
        <v>14</v>
      </c>
      <c r="D4" s="158" t="s">
        <v>7</v>
      </c>
      <c r="E4" s="159" t="s">
        <v>49</v>
      </c>
      <c r="F4" s="160"/>
      <c r="G4" s="159" t="s">
        <v>109</v>
      </c>
      <c r="H4" s="160"/>
      <c r="I4" s="159" t="s">
        <v>104</v>
      </c>
      <c r="J4" s="160"/>
      <c r="K4" s="163" t="s">
        <v>12</v>
      </c>
      <c r="L4" s="165" t="s">
        <v>15</v>
      </c>
      <c r="M4" s="163" t="s">
        <v>16</v>
      </c>
    </row>
    <row r="5" spans="1:20" ht="19.5" customHeight="1">
      <c r="A5" s="155"/>
      <c r="B5" s="157"/>
      <c r="C5" s="155"/>
      <c r="D5" s="158"/>
      <c r="E5" s="161"/>
      <c r="F5" s="162"/>
      <c r="G5" s="161"/>
      <c r="H5" s="162"/>
      <c r="I5" s="161"/>
      <c r="J5" s="162"/>
      <c r="K5" s="164"/>
      <c r="L5" s="166"/>
      <c r="M5" s="164"/>
    </row>
    <row r="6" spans="1:20" ht="36.75" customHeight="1">
      <c r="A6" s="9">
        <v>1</v>
      </c>
      <c r="B6" s="153" t="s">
        <v>1</v>
      </c>
      <c r="C6" s="26" t="s">
        <v>46</v>
      </c>
      <c r="D6" s="10" t="s">
        <v>2</v>
      </c>
      <c r="E6" s="11">
        <v>15</v>
      </c>
      <c r="F6" s="11">
        <f>$E6+$E6*0.2</f>
        <v>18</v>
      </c>
      <c r="G6" s="10" t="s">
        <v>31</v>
      </c>
      <c r="H6" s="10">
        <v>25</v>
      </c>
      <c r="I6" s="10" t="s">
        <v>31</v>
      </c>
      <c r="J6" s="90">
        <v>25</v>
      </c>
      <c r="K6" s="12">
        <f>$F6*J6</f>
        <v>450</v>
      </c>
      <c r="L6" s="25">
        <v>0.23</v>
      </c>
      <c r="M6" s="12">
        <f>K6*1.23</f>
        <v>553.5</v>
      </c>
      <c r="N6" s="1"/>
      <c r="O6" s="2"/>
      <c r="P6" s="167" t="s">
        <v>21</v>
      </c>
      <c r="Q6" s="167"/>
      <c r="R6" s="167"/>
      <c r="S6" s="76"/>
      <c r="T6" s="76"/>
    </row>
    <row r="7" spans="1:20" ht="40.5" customHeight="1">
      <c r="A7" s="9">
        <v>2</v>
      </c>
      <c r="B7" s="153"/>
      <c r="C7" s="10" t="s">
        <v>47</v>
      </c>
      <c r="D7" s="10" t="s">
        <v>8</v>
      </c>
      <c r="E7" s="11">
        <v>30</v>
      </c>
      <c r="F7" s="11">
        <f t="shared" ref="F7:F13" si="0">$E7+$E7*0.2</f>
        <v>36</v>
      </c>
      <c r="G7" s="10" t="s">
        <v>32</v>
      </c>
      <c r="H7" s="10">
        <v>10</v>
      </c>
      <c r="I7" s="10" t="s">
        <v>32</v>
      </c>
      <c r="J7" s="90">
        <v>10</v>
      </c>
      <c r="K7" s="12">
        <f t="shared" ref="K7:K13" si="1">$F7*J7</f>
        <v>360</v>
      </c>
      <c r="L7" s="25">
        <v>0.23</v>
      </c>
      <c r="M7" s="12">
        <f t="shared" ref="M7:M13" si="2">K7*1.23</f>
        <v>442.8</v>
      </c>
      <c r="N7" s="1"/>
      <c r="O7" s="77"/>
      <c r="P7" s="78"/>
      <c r="Q7" s="79" t="s">
        <v>29</v>
      </c>
      <c r="R7" s="79" t="s">
        <v>30</v>
      </c>
      <c r="S7" s="76"/>
      <c r="T7" s="76"/>
    </row>
    <row r="8" spans="1:20" ht="36.75" customHeight="1">
      <c r="A8" s="9">
        <v>3</v>
      </c>
      <c r="B8" s="153"/>
      <c r="C8" s="30" t="s">
        <v>20</v>
      </c>
      <c r="D8" s="10" t="s">
        <v>2</v>
      </c>
      <c r="E8" s="11">
        <v>15</v>
      </c>
      <c r="F8" s="11">
        <f t="shared" si="0"/>
        <v>18</v>
      </c>
      <c r="G8" s="10" t="s">
        <v>33</v>
      </c>
      <c r="H8" s="10">
        <v>40</v>
      </c>
      <c r="I8" s="10" t="s">
        <v>33</v>
      </c>
      <c r="J8" s="90">
        <v>40</v>
      </c>
      <c r="K8" s="12">
        <f t="shared" si="1"/>
        <v>720</v>
      </c>
      <c r="L8" s="25">
        <v>0.23</v>
      </c>
      <c r="M8" s="12">
        <f t="shared" si="2"/>
        <v>885.6</v>
      </c>
      <c r="N8" s="1"/>
      <c r="O8" s="168" t="s">
        <v>28</v>
      </c>
      <c r="P8" s="80" t="s">
        <v>42</v>
      </c>
      <c r="Q8" s="81">
        <f>K14</f>
        <v>2826</v>
      </c>
      <c r="R8" s="81">
        <f>M14</f>
        <v>3475.98</v>
      </c>
      <c r="S8" s="76"/>
      <c r="T8" s="76"/>
    </row>
    <row r="9" spans="1:20" ht="36.75" customHeight="1">
      <c r="A9" s="9">
        <v>4</v>
      </c>
      <c r="B9" s="153"/>
      <c r="C9" s="33" t="s">
        <v>26</v>
      </c>
      <c r="D9" s="10" t="s">
        <v>8</v>
      </c>
      <c r="E9" s="11">
        <v>30</v>
      </c>
      <c r="F9" s="11">
        <f t="shared" si="0"/>
        <v>36</v>
      </c>
      <c r="G9" s="34" t="s">
        <v>34</v>
      </c>
      <c r="H9" s="34">
        <v>1</v>
      </c>
      <c r="I9" s="34" t="s">
        <v>34</v>
      </c>
      <c r="J9" s="10">
        <v>1</v>
      </c>
      <c r="K9" s="12">
        <f t="shared" si="1"/>
        <v>36</v>
      </c>
      <c r="L9" s="35">
        <v>0.23</v>
      </c>
      <c r="M9" s="12">
        <f t="shared" si="2"/>
        <v>44.28</v>
      </c>
      <c r="N9" s="1"/>
      <c r="O9" s="168"/>
      <c r="P9" s="80" t="s">
        <v>53</v>
      </c>
      <c r="Q9" s="81">
        <f>K33</f>
        <v>23070</v>
      </c>
      <c r="R9" s="81">
        <f>M33</f>
        <v>28376.100000000006</v>
      </c>
      <c r="S9" s="76"/>
      <c r="T9" s="76"/>
    </row>
    <row r="10" spans="1:20" ht="36.75" customHeight="1">
      <c r="A10" s="9">
        <v>5</v>
      </c>
      <c r="B10" s="153"/>
      <c r="C10" s="90" t="s">
        <v>3</v>
      </c>
      <c r="D10" s="10" t="s">
        <v>4</v>
      </c>
      <c r="E10" s="11">
        <v>30</v>
      </c>
      <c r="F10" s="11">
        <f t="shared" si="0"/>
        <v>36</v>
      </c>
      <c r="G10" s="10" t="s">
        <v>36</v>
      </c>
      <c r="H10" s="10">
        <v>4</v>
      </c>
      <c r="I10" s="10" t="s">
        <v>36</v>
      </c>
      <c r="J10" s="10">
        <v>4</v>
      </c>
      <c r="K10" s="12">
        <f t="shared" si="1"/>
        <v>144</v>
      </c>
      <c r="L10" s="35">
        <v>0.23</v>
      </c>
      <c r="M10" s="12">
        <f t="shared" si="2"/>
        <v>177.12</v>
      </c>
      <c r="N10" s="1"/>
      <c r="O10" s="82"/>
      <c r="P10" s="83" t="s">
        <v>0</v>
      </c>
      <c r="Q10" s="81">
        <f>SUM(Q8:Q9)</f>
        <v>25896</v>
      </c>
      <c r="R10" s="81">
        <f>SUM(R8:R9)</f>
        <v>31852.080000000005</v>
      </c>
      <c r="S10" s="76"/>
      <c r="T10" s="76"/>
    </row>
    <row r="11" spans="1:20" ht="36.75" customHeight="1">
      <c r="A11" s="9">
        <v>6</v>
      </c>
      <c r="B11" s="153" t="s">
        <v>6</v>
      </c>
      <c r="C11" s="10" t="s">
        <v>19</v>
      </c>
      <c r="D11" s="10" t="s">
        <v>2</v>
      </c>
      <c r="E11" s="11">
        <v>15</v>
      </c>
      <c r="F11" s="11">
        <f t="shared" si="0"/>
        <v>18</v>
      </c>
      <c r="G11" s="10" t="s">
        <v>37</v>
      </c>
      <c r="H11" s="10">
        <v>30</v>
      </c>
      <c r="I11" s="10" t="s">
        <v>37</v>
      </c>
      <c r="J11" s="10">
        <v>30</v>
      </c>
      <c r="K11" s="12">
        <f t="shared" si="1"/>
        <v>540</v>
      </c>
      <c r="L11" s="35">
        <v>0.23</v>
      </c>
      <c r="M11" s="12">
        <f t="shared" si="2"/>
        <v>664.2</v>
      </c>
      <c r="N11" s="1"/>
      <c r="O11" s="82"/>
      <c r="P11" s="83" t="s">
        <v>11</v>
      </c>
      <c r="Q11" s="84">
        <f>Q10/4.2249</f>
        <v>6129.3758432152244</v>
      </c>
      <c r="R11" s="84">
        <f>R10/4.2249</f>
        <v>7539.1322871547272</v>
      </c>
      <c r="S11" s="76"/>
      <c r="T11" s="76"/>
    </row>
    <row r="12" spans="1:20" ht="36.75" customHeight="1">
      <c r="A12" s="9">
        <v>7</v>
      </c>
      <c r="B12" s="153"/>
      <c r="C12" s="10" t="s">
        <v>48</v>
      </c>
      <c r="D12" s="10" t="s">
        <v>2</v>
      </c>
      <c r="E12" s="11">
        <v>15</v>
      </c>
      <c r="F12" s="11">
        <f t="shared" si="0"/>
        <v>18</v>
      </c>
      <c r="G12" s="10" t="s">
        <v>38</v>
      </c>
      <c r="H12" s="10">
        <v>30</v>
      </c>
      <c r="I12" s="10" t="s">
        <v>38</v>
      </c>
      <c r="J12" s="10">
        <v>30</v>
      </c>
      <c r="K12" s="12">
        <f t="shared" si="1"/>
        <v>540</v>
      </c>
      <c r="L12" s="35">
        <v>0.23</v>
      </c>
      <c r="M12" s="12">
        <f t="shared" si="2"/>
        <v>664.2</v>
      </c>
      <c r="N12" s="1"/>
      <c r="O12" s="76"/>
      <c r="P12" s="80" t="s">
        <v>111</v>
      </c>
      <c r="Q12" s="81">
        <v>16400</v>
      </c>
      <c r="R12" s="81">
        <v>20172</v>
      </c>
      <c r="S12" s="85">
        <v>12300</v>
      </c>
      <c r="T12" s="86">
        <v>15129</v>
      </c>
    </row>
    <row r="13" spans="1:20" ht="36.75" customHeight="1">
      <c r="A13" s="9">
        <v>8</v>
      </c>
      <c r="B13" s="153"/>
      <c r="C13" s="33" t="s">
        <v>24</v>
      </c>
      <c r="D13" s="10" t="s">
        <v>8</v>
      </c>
      <c r="E13" s="11">
        <v>30</v>
      </c>
      <c r="F13" s="11">
        <f t="shared" si="0"/>
        <v>36</v>
      </c>
      <c r="G13" s="10" t="s">
        <v>82</v>
      </c>
      <c r="H13" s="10">
        <v>1</v>
      </c>
      <c r="I13" s="10" t="s">
        <v>82</v>
      </c>
      <c r="J13" s="36">
        <f>1*1*1</f>
        <v>1</v>
      </c>
      <c r="K13" s="12">
        <f t="shared" si="1"/>
        <v>36</v>
      </c>
      <c r="L13" s="35">
        <v>0.23</v>
      </c>
      <c r="M13" s="12">
        <f t="shared" si="2"/>
        <v>44.28</v>
      </c>
      <c r="N13" s="1"/>
      <c r="O13" s="76"/>
      <c r="P13" s="80" t="s">
        <v>75</v>
      </c>
      <c r="Q13" s="81">
        <v>5200</v>
      </c>
      <c r="R13" s="81">
        <v>6396</v>
      </c>
      <c r="S13" s="81">
        <v>5200</v>
      </c>
      <c r="T13" s="81">
        <v>6396</v>
      </c>
    </row>
    <row r="14" spans="1:20" ht="27.75" customHeight="1">
      <c r="A14" s="13"/>
      <c r="B14" s="32" t="s">
        <v>22</v>
      </c>
      <c r="C14" s="14"/>
      <c r="D14" s="14"/>
      <c r="E14" s="15"/>
      <c r="F14" s="15"/>
      <c r="G14" s="15"/>
      <c r="H14" s="15"/>
      <c r="I14" s="14"/>
      <c r="J14" s="21" t="s">
        <v>0</v>
      </c>
      <c r="K14" s="31">
        <f>SUM(K6:K13)</f>
        <v>2826</v>
      </c>
      <c r="L14" s="29"/>
      <c r="M14" s="27">
        <f>SUM(M6:M13)</f>
        <v>3475.98</v>
      </c>
      <c r="N14" s="1"/>
      <c r="O14" s="76"/>
      <c r="P14" s="83" t="s">
        <v>0</v>
      </c>
      <c r="Q14" s="81">
        <f>Q10+Q12+Q13</f>
        <v>47496</v>
      </c>
      <c r="R14" s="81">
        <f>R10+R12+R13</f>
        <v>58420.08</v>
      </c>
      <c r="S14" s="81">
        <f>Q10+S12+S13</f>
        <v>43396</v>
      </c>
      <c r="T14" s="81">
        <f>R10+T12+T13</f>
        <v>53377.08</v>
      </c>
    </row>
    <row r="15" spans="1:20" ht="27.75" customHeight="1">
      <c r="A15" s="16"/>
      <c r="B15" s="16"/>
      <c r="C15" s="16"/>
      <c r="D15" s="16"/>
      <c r="E15" s="16"/>
      <c r="F15" s="16"/>
      <c r="G15" s="16"/>
      <c r="H15" s="16"/>
      <c r="I15" s="16"/>
      <c r="J15" s="18">
        <f>SUM(J6:J13)</f>
        <v>141</v>
      </c>
      <c r="K15" s="19"/>
      <c r="L15" s="19"/>
      <c r="M15" s="24"/>
      <c r="O15" s="76"/>
      <c r="P15" s="83" t="s">
        <v>11</v>
      </c>
      <c r="Q15" s="100">
        <f>Q14/4.2249</f>
        <v>11241.922885748776</v>
      </c>
      <c r="R15" s="100">
        <f>R14/4.2249</f>
        <v>13827.565149470995</v>
      </c>
      <c r="S15" s="100">
        <f>S14/4.2249</f>
        <v>10271.48571563824</v>
      </c>
      <c r="T15" s="100">
        <f>T14/4.2249</f>
        <v>12633.927430235037</v>
      </c>
    </row>
    <row r="16" spans="1:20" ht="15">
      <c r="J16" s="22"/>
      <c r="K16" s="28"/>
      <c r="L16" s="23"/>
      <c r="M16" s="20"/>
    </row>
    <row r="17" spans="1:14" ht="29.25" customHeight="1">
      <c r="A17" s="154" t="s">
        <v>74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spans="1:14" ht="35.25" customHeight="1">
      <c r="A18" s="2"/>
      <c r="B18" s="2"/>
      <c r="C18" s="2"/>
      <c r="D18" s="17"/>
      <c r="E18" s="92" t="s">
        <v>103</v>
      </c>
      <c r="F18" s="91" t="s">
        <v>101</v>
      </c>
      <c r="G18" s="46"/>
      <c r="H18" s="46"/>
      <c r="I18" s="2"/>
      <c r="J18" s="2"/>
    </row>
    <row r="19" spans="1:14" ht="14.25" customHeight="1">
      <c r="A19" s="155" t="s">
        <v>18</v>
      </c>
      <c r="B19" s="156" t="s">
        <v>13</v>
      </c>
      <c r="C19" s="155" t="s">
        <v>14</v>
      </c>
      <c r="D19" s="158" t="s">
        <v>7</v>
      </c>
      <c r="E19" s="159" t="s">
        <v>49</v>
      </c>
      <c r="F19" s="160"/>
      <c r="G19" s="159" t="s">
        <v>109</v>
      </c>
      <c r="H19" s="160"/>
      <c r="I19" s="159" t="s">
        <v>104</v>
      </c>
      <c r="J19" s="160"/>
      <c r="K19" s="163" t="s">
        <v>12</v>
      </c>
      <c r="L19" s="165" t="s">
        <v>15</v>
      </c>
      <c r="M19" s="163" t="s">
        <v>16</v>
      </c>
    </row>
    <row r="20" spans="1:14" ht="28.5" customHeight="1">
      <c r="A20" s="155"/>
      <c r="B20" s="157"/>
      <c r="C20" s="155"/>
      <c r="D20" s="158"/>
      <c r="E20" s="161"/>
      <c r="F20" s="162"/>
      <c r="G20" s="161"/>
      <c r="H20" s="162"/>
      <c r="I20" s="161"/>
      <c r="J20" s="162"/>
      <c r="K20" s="164"/>
      <c r="L20" s="166"/>
      <c r="M20" s="164"/>
    </row>
    <row r="21" spans="1:14" ht="38.25" customHeight="1">
      <c r="A21" s="9">
        <v>1</v>
      </c>
      <c r="B21" s="153" t="s">
        <v>1</v>
      </c>
      <c r="C21" s="26" t="s">
        <v>46</v>
      </c>
      <c r="D21" s="10" t="s">
        <v>2</v>
      </c>
      <c r="E21" s="11">
        <v>15</v>
      </c>
      <c r="F21" s="11">
        <f>$E21+$E21*0.2</f>
        <v>18</v>
      </c>
      <c r="G21" s="10" t="s">
        <v>43</v>
      </c>
      <c r="H21" s="90">
        <f>10*1*4+15*1</f>
        <v>55</v>
      </c>
      <c r="I21" s="10" t="s">
        <v>79</v>
      </c>
      <c r="J21" s="90">
        <f>10*1*2+15*1</f>
        <v>35</v>
      </c>
      <c r="K21" s="12">
        <f>$F21*J21</f>
        <v>630</v>
      </c>
      <c r="L21" s="25">
        <v>0.23</v>
      </c>
      <c r="M21" s="12">
        <f>K21*1.23</f>
        <v>774.9</v>
      </c>
    </row>
    <row r="22" spans="1:14" ht="38.25" customHeight="1">
      <c r="A22" s="9">
        <v>2</v>
      </c>
      <c r="B22" s="153"/>
      <c r="C22" s="10" t="s">
        <v>47</v>
      </c>
      <c r="D22" s="10" t="s">
        <v>8</v>
      </c>
      <c r="E22" s="11">
        <v>30</v>
      </c>
      <c r="F22" s="11">
        <f t="shared" ref="F22:F32" si="3">$E22+$E22*0.2</f>
        <v>36</v>
      </c>
      <c r="G22" s="10" t="s">
        <v>80</v>
      </c>
      <c r="H22" s="90">
        <f>10*1*5+160*1</f>
        <v>210</v>
      </c>
      <c r="I22" s="10" t="s">
        <v>81</v>
      </c>
      <c r="J22" s="90">
        <f>10*1*4+160*1</f>
        <v>200</v>
      </c>
      <c r="K22" s="12">
        <f t="shared" ref="K22:K32" si="4">$F22*J22</f>
        <v>7200</v>
      </c>
      <c r="L22" s="25">
        <v>0.23</v>
      </c>
      <c r="M22" s="12">
        <f t="shared" ref="M22:M32" si="5">K22*1.23</f>
        <v>8856</v>
      </c>
    </row>
    <row r="23" spans="1:14" ht="37.5" customHeight="1">
      <c r="A23" s="9">
        <v>3</v>
      </c>
      <c r="B23" s="153"/>
      <c r="C23" s="30" t="s">
        <v>20</v>
      </c>
      <c r="D23" s="10" t="s">
        <v>2</v>
      </c>
      <c r="E23" s="11">
        <v>15</v>
      </c>
      <c r="F23" s="11">
        <f t="shared" si="3"/>
        <v>18</v>
      </c>
      <c r="G23" s="10" t="s">
        <v>98</v>
      </c>
      <c r="H23" s="90">
        <f>10*1*4+15*2*4</f>
        <v>160</v>
      </c>
      <c r="I23" s="10" t="s">
        <v>83</v>
      </c>
      <c r="J23" s="90">
        <f>10*1*3+15*2*3</f>
        <v>120</v>
      </c>
      <c r="K23" s="12">
        <f t="shared" si="4"/>
        <v>2160</v>
      </c>
      <c r="L23" s="25">
        <v>0.23</v>
      </c>
      <c r="M23" s="12">
        <f t="shared" si="5"/>
        <v>2656.8</v>
      </c>
    </row>
    <row r="24" spans="1:14" ht="37.5" customHeight="1">
      <c r="A24" s="9">
        <v>4</v>
      </c>
      <c r="B24" s="153"/>
      <c r="C24" s="33" t="s">
        <v>26</v>
      </c>
      <c r="D24" s="88" t="s">
        <v>99</v>
      </c>
      <c r="E24" s="11">
        <v>30</v>
      </c>
      <c r="F24" s="11">
        <f t="shared" si="3"/>
        <v>36</v>
      </c>
      <c r="G24" s="34" t="s">
        <v>35</v>
      </c>
      <c r="H24" s="10">
        <f>1*1*3+1*1*1</f>
        <v>4</v>
      </c>
      <c r="I24" s="34" t="s">
        <v>35</v>
      </c>
      <c r="J24" s="10">
        <f>1*1*3+1*1*1</f>
        <v>4</v>
      </c>
      <c r="K24" s="12">
        <f t="shared" si="4"/>
        <v>144</v>
      </c>
      <c r="L24" s="35">
        <v>0.23</v>
      </c>
      <c r="M24" s="12">
        <f t="shared" si="5"/>
        <v>177.12</v>
      </c>
    </row>
    <row r="25" spans="1:14" ht="37.5" customHeight="1">
      <c r="A25" s="9">
        <v>5</v>
      </c>
      <c r="B25" s="153"/>
      <c r="C25" s="10" t="s">
        <v>27</v>
      </c>
      <c r="D25" s="88" t="s">
        <v>99</v>
      </c>
      <c r="E25" s="11">
        <v>30</v>
      </c>
      <c r="F25" s="11">
        <f t="shared" si="3"/>
        <v>36</v>
      </c>
      <c r="G25" s="10" t="s">
        <v>25</v>
      </c>
      <c r="H25" s="10">
        <f>10*1*1+15*2*1</f>
        <v>40</v>
      </c>
      <c r="I25" s="10" t="s">
        <v>25</v>
      </c>
      <c r="J25" s="10">
        <f>10*1*1+15*2*1</f>
        <v>40</v>
      </c>
      <c r="K25" s="12">
        <f t="shared" si="4"/>
        <v>1440</v>
      </c>
      <c r="L25" s="35">
        <v>0.23</v>
      </c>
      <c r="M25" s="12">
        <f t="shared" si="5"/>
        <v>1771.2</v>
      </c>
    </row>
    <row r="26" spans="1:14" ht="37.5" customHeight="1">
      <c r="A26" s="9">
        <v>6</v>
      </c>
      <c r="B26" s="153"/>
      <c r="C26" s="90" t="s">
        <v>3</v>
      </c>
      <c r="D26" s="10" t="s">
        <v>4</v>
      </c>
      <c r="E26" s="11">
        <v>70</v>
      </c>
      <c r="F26" s="11">
        <f t="shared" si="3"/>
        <v>84</v>
      </c>
      <c r="G26" s="10" t="s">
        <v>36</v>
      </c>
      <c r="H26" s="10">
        <f>4*1*1</f>
        <v>4</v>
      </c>
      <c r="I26" s="10" t="s">
        <v>36</v>
      </c>
      <c r="J26" s="10">
        <f>4*1*1</f>
        <v>4</v>
      </c>
      <c r="K26" s="12">
        <f t="shared" si="4"/>
        <v>336</v>
      </c>
      <c r="L26" s="35">
        <v>0.23</v>
      </c>
      <c r="M26" s="12">
        <f t="shared" si="5"/>
        <v>413.28</v>
      </c>
    </row>
    <row r="27" spans="1:14" ht="37.5" customHeight="1">
      <c r="A27" s="9">
        <v>7</v>
      </c>
      <c r="B27" s="153"/>
      <c r="C27" s="90" t="s">
        <v>5</v>
      </c>
      <c r="D27" s="10" t="s">
        <v>2</v>
      </c>
      <c r="E27" s="11">
        <v>15</v>
      </c>
      <c r="F27" s="11">
        <f t="shared" si="3"/>
        <v>18</v>
      </c>
      <c r="G27" s="10" t="s">
        <v>76</v>
      </c>
      <c r="H27" s="10">
        <f>14*4</f>
        <v>56</v>
      </c>
      <c r="I27" s="10" t="s">
        <v>76</v>
      </c>
      <c r="J27" s="10">
        <f>14*4</f>
        <v>56</v>
      </c>
      <c r="K27" s="12">
        <f t="shared" si="4"/>
        <v>1008</v>
      </c>
      <c r="L27" s="35">
        <v>0.23</v>
      </c>
      <c r="M27" s="12">
        <f t="shared" si="5"/>
        <v>1239.8399999999999</v>
      </c>
    </row>
    <row r="28" spans="1:14" ht="37.5" customHeight="1">
      <c r="A28" s="9">
        <v>8</v>
      </c>
      <c r="B28" s="153" t="s">
        <v>6</v>
      </c>
      <c r="C28" s="10" t="s">
        <v>19</v>
      </c>
      <c r="D28" s="10" t="s">
        <v>2</v>
      </c>
      <c r="E28" s="11">
        <v>15</v>
      </c>
      <c r="F28" s="11">
        <f t="shared" si="3"/>
        <v>18</v>
      </c>
      <c r="G28" s="10" t="s">
        <v>84</v>
      </c>
      <c r="H28" s="10">
        <f>15*2*1*5</f>
        <v>150</v>
      </c>
      <c r="I28" s="10" t="s">
        <v>85</v>
      </c>
      <c r="J28" s="10">
        <f>15*2*1*4</f>
        <v>120</v>
      </c>
      <c r="K28" s="12">
        <f t="shared" si="4"/>
        <v>2160</v>
      </c>
      <c r="L28" s="35">
        <v>0.23</v>
      </c>
      <c r="M28" s="12">
        <f t="shared" si="5"/>
        <v>2656.8</v>
      </c>
    </row>
    <row r="29" spans="1:14" ht="37.5" customHeight="1">
      <c r="A29" s="9">
        <v>9</v>
      </c>
      <c r="B29" s="153"/>
      <c r="C29" s="10" t="s">
        <v>9</v>
      </c>
      <c r="D29" s="10" t="s">
        <v>8</v>
      </c>
      <c r="E29" s="11">
        <v>30</v>
      </c>
      <c r="F29" s="11">
        <f t="shared" si="3"/>
        <v>36</v>
      </c>
      <c r="G29" s="10" t="s">
        <v>87</v>
      </c>
      <c r="H29" s="10">
        <f>160*1*1</f>
        <v>160</v>
      </c>
      <c r="I29" s="10" t="s">
        <v>88</v>
      </c>
      <c r="J29" s="10">
        <f>160*1*1</f>
        <v>160</v>
      </c>
      <c r="K29" s="12">
        <f t="shared" si="4"/>
        <v>5760</v>
      </c>
      <c r="L29" s="35">
        <v>0.23</v>
      </c>
      <c r="M29" s="12">
        <f t="shared" si="5"/>
        <v>7084.8</v>
      </c>
    </row>
    <row r="30" spans="1:14" ht="37.5" customHeight="1">
      <c r="A30" s="9">
        <v>10</v>
      </c>
      <c r="B30" s="153"/>
      <c r="C30" s="10" t="s">
        <v>48</v>
      </c>
      <c r="D30" s="10" t="s">
        <v>2</v>
      </c>
      <c r="E30" s="11">
        <v>15</v>
      </c>
      <c r="F30" s="11">
        <f t="shared" si="3"/>
        <v>18</v>
      </c>
      <c r="G30" s="10" t="s">
        <v>44</v>
      </c>
      <c r="H30" s="10">
        <f>15*2*1*3</f>
        <v>90</v>
      </c>
      <c r="I30" s="10" t="s">
        <v>86</v>
      </c>
      <c r="J30" s="10">
        <f>15*2*1*2</f>
        <v>60</v>
      </c>
      <c r="K30" s="12">
        <f t="shared" si="4"/>
        <v>1080</v>
      </c>
      <c r="L30" s="35">
        <v>0.23</v>
      </c>
      <c r="M30" s="12">
        <f t="shared" si="5"/>
        <v>1328.4</v>
      </c>
    </row>
    <row r="31" spans="1:14" ht="37.5" customHeight="1">
      <c r="A31" s="9">
        <v>11</v>
      </c>
      <c r="B31" s="153"/>
      <c r="C31" s="33" t="s">
        <v>24</v>
      </c>
      <c r="D31" s="88" t="s">
        <v>99</v>
      </c>
      <c r="E31" s="11">
        <v>30</v>
      </c>
      <c r="F31" s="11">
        <f t="shared" si="3"/>
        <v>36</v>
      </c>
      <c r="G31" s="10" t="s">
        <v>39</v>
      </c>
      <c r="H31" s="10">
        <f>1*1*2</f>
        <v>2</v>
      </c>
      <c r="I31" s="10" t="s">
        <v>39</v>
      </c>
      <c r="J31" s="36">
        <f>1*1*2</f>
        <v>2</v>
      </c>
      <c r="K31" s="12">
        <f t="shared" si="4"/>
        <v>72</v>
      </c>
      <c r="L31" s="35">
        <v>0.23</v>
      </c>
      <c r="M31" s="12">
        <f t="shared" si="5"/>
        <v>88.56</v>
      </c>
    </row>
    <row r="32" spans="1:14" ht="37.5" customHeight="1">
      <c r="A32" s="9">
        <v>12</v>
      </c>
      <c r="B32" s="153"/>
      <c r="C32" s="34" t="s">
        <v>10</v>
      </c>
      <c r="D32" s="89" t="s">
        <v>99</v>
      </c>
      <c r="E32" s="11">
        <v>30</v>
      </c>
      <c r="F32" s="11">
        <f t="shared" si="3"/>
        <v>36</v>
      </c>
      <c r="G32" s="71" t="s">
        <v>38</v>
      </c>
      <c r="H32" s="10">
        <f>15*2*1*1</f>
        <v>30</v>
      </c>
      <c r="I32" s="69" t="s">
        <v>38</v>
      </c>
      <c r="J32" s="36">
        <f>15*2*1*1</f>
        <v>30</v>
      </c>
      <c r="K32" s="12">
        <f t="shared" si="4"/>
        <v>1080</v>
      </c>
      <c r="L32" s="35">
        <v>0.23</v>
      </c>
      <c r="M32" s="12">
        <f t="shared" si="5"/>
        <v>1328.4</v>
      </c>
      <c r="N32" s="1"/>
    </row>
    <row r="33" spans="1:13" ht="15.75">
      <c r="A33" s="13"/>
      <c r="B33" s="32" t="s">
        <v>22</v>
      </c>
      <c r="C33" s="14"/>
      <c r="D33" s="14"/>
      <c r="E33" s="15"/>
      <c r="F33" s="15"/>
      <c r="G33" s="15"/>
      <c r="H33" s="15"/>
      <c r="I33" s="14"/>
      <c r="J33" s="21" t="s">
        <v>0</v>
      </c>
      <c r="K33" s="31">
        <f>SUM(K21:K32)</f>
        <v>23070</v>
      </c>
      <c r="L33" s="29"/>
      <c r="M33" s="27">
        <f t="shared" ref="M33" si="6">SUM(M21:M32)</f>
        <v>28376.100000000006</v>
      </c>
    </row>
    <row r="34" spans="1:13">
      <c r="J34" s="72">
        <f>SUM(J21:J32)</f>
        <v>831</v>
      </c>
      <c r="K34"/>
      <c r="L34"/>
      <c r="M34" s="6"/>
    </row>
    <row r="35" spans="1:13">
      <c r="K35"/>
      <c r="L35"/>
      <c r="M35" s="4"/>
    </row>
    <row r="36" spans="1:13">
      <c r="K36"/>
      <c r="L36"/>
      <c r="M36" s="7"/>
    </row>
    <row r="37" spans="1:13">
      <c r="K37"/>
      <c r="L37"/>
      <c r="M37" s="5"/>
    </row>
    <row r="38" spans="1:13">
      <c r="K38"/>
      <c r="L38"/>
      <c r="M38" s="8"/>
    </row>
    <row r="39" spans="1:13">
      <c r="K39"/>
      <c r="L39"/>
      <c r="M39"/>
    </row>
    <row r="42" spans="1:13" ht="38.25" customHeight="1">
      <c r="A42" s="70">
        <v>1</v>
      </c>
      <c r="B42" s="64">
        <f>$J$6-15+$J$21-15</f>
        <v>30</v>
      </c>
      <c r="C42" s="73" t="s">
        <v>89</v>
      </c>
    </row>
    <row r="43" spans="1:13" ht="38.25" customHeight="1">
      <c r="A43" s="70">
        <v>2</v>
      </c>
      <c r="B43" s="64">
        <f>$J$6-10+$J$11+$J$21-20+$J$28</f>
        <v>180</v>
      </c>
      <c r="C43" s="73" t="s">
        <v>92</v>
      </c>
    </row>
    <row r="44" spans="1:13" ht="38.25" customHeight="1">
      <c r="A44" s="70">
        <v>3</v>
      </c>
      <c r="B44" s="64">
        <f>$J$7+$J$22-160</f>
        <v>50</v>
      </c>
      <c r="C44" s="73" t="s">
        <v>90</v>
      </c>
    </row>
    <row r="45" spans="1:13" ht="38.25" customHeight="1">
      <c r="A45" s="70">
        <v>4</v>
      </c>
      <c r="B45" s="64">
        <f>$J$22-40+$J$29</f>
        <v>320</v>
      </c>
      <c r="C45" s="73" t="s">
        <v>91</v>
      </c>
    </row>
    <row r="46" spans="1:13" ht="38.25" customHeight="1">
      <c r="A46" s="87">
        <v>5</v>
      </c>
      <c r="B46" s="64">
        <f>$J$8-30+$J$23-90</f>
        <v>40</v>
      </c>
      <c r="C46" s="74" t="s">
        <v>93</v>
      </c>
    </row>
    <row r="47" spans="1:13" ht="38.25" customHeight="1">
      <c r="A47" s="87">
        <v>6</v>
      </c>
      <c r="B47" s="64">
        <f>$J$8-10+$J$12+$J$23-30+$J$30</f>
        <v>210</v>
      </c>
      <c r="C47" s="74" t="s">
        <v>97</v>
      </c>
      <c r="H47" s="64"/>
      <c r="I47" s="64"/>
      <c r="J47" s="64"/>
    </row>
    <row r="48" spans="1:13" ht="38.25" customHeight="1">
      <c r="A48" s="70">
        <v>7</v>
      </c>
      <c r="B48" s="64">
        <f>$J$9+$J$24-1</f>
        <v>4</v>
      </c>
      <c r="C48" s="67" t="s">
        <v>94</v>
      </c>
    </row>
    <row r="49" spans="1:7" ht="38.25" customHeight="1">
      <c r="A49" s="70">
        <v>8</v>
      </c>
      <c r="B49" s="64">
        <f>$J$13+$J$24-3+$J$31</f>
        <v>4</v>
      </c>
      <c r="C49" s="67" t="s">
        <v>95</v>
      </c>
    </row>
    <row r="50" spans="1:7" ht="38.25" customHeight="1">
      <c r="A50" s="70">
        <v>9</v>
      </c>
      <c r="B50" s="64">
        <f>$J$25-30</f>
        <v>10</v>
      </c>
      <c r="C50" s="66" t="s">
        <v>100</v>
      </c>
    </row>
    <row r="51" spans="1:7" ht="38.25" customHeight="1">
      <c r="A51" s="70">
        <v>10</v>
      </c>
      <c r="B51" s="64">
        <f>$J$25-10+$J$32</f>
        <v>60</v>
      </c>
      <c r="C51" s="66" t="s">
        <v>96</v>
      </c>
    </row>
    <row r="52" spans="1:7" ht="38.25" customHeight="1">
      <c r="A52" s="70">
        <v>11</v>
      </c>
      <c r="B52" s="64">
        <f>$J$10+$J$26</f>
        <v>8</v>
      </c>
      <c r="C52" s="75" t="s">
        <v>3</v>
      </c>
    </row>
    <row r="53" spans="1:7" ht="38.25" customHeight="1">
      <c r="A53" s="70">
        <v>12</v>
      </c>
      <c r="B53" s="64">
        <f>$J$27</f>
        <v>56</v>
      </c>
      <c r="C53" s="75" t="s">
        <v>5</v>
      </c>
    </row>
    <row r="54" spans="1:7">
      <c r="B54" s="65"/>
      <c r="C54" s="66"/>
      <c r="D54" s="65"/>
      <c r="E54" s="65"/>
      <c r="F54" s="65"/>
      <c r="G54" s="65"/>
    </row>
    <row r="55" spans="1:7">
      <c r="B55" s="65"/>
      <c r="C55" s="66"/>
      <c r="D55" s="65"/>
      <c r="E55" s="65"/>
      <c r="F55" s="65"/>
      <c r="G55" s="65"/>
    </row>
    <row r="56" spans="1:7">
      <c r="B56" s="65"/>
      <c r="C56" s="66"/>
      <c r="D56" s="65"/>
      <c r="E56" s="65"/>
      <c r="F56" s="65"/>
      <c r="G56" s="65"/>
    </row>
    <row r="57" spans="1:7">
      <c r="B57" s="65"/>
      <c r="C57" s="67"/>
      <c r="D57" s="65"/>
      <c r="E57" s="65"/>
      <c r="F57" s="65"/>
      <c r="G57" s="65"/>
    </row>
    <row r="58" spans="1:7">
      <c r="B58" s="65"/>
      <c r="C58" s="68"/>
      <c r="D58" s="65"/>
      <c r="E58" s="65"/>
      <c r="F58" s="65"/>
      <c r="G58" s="65"/>
    </row>
    <row r="59" spans="1:7">
      <c r="B59" s="65"/>
      <c r="C59" s="65"/>
      <c r="D59" s="65"/>
      <c r="E59" s="65"/>
      <c r="F59" s="65"/>
      <c r="G59" s="65"/>
    </row>
  </sheetData>
  <mergeCells count="31">
    <mergeCell ref="P6:R6"/>
    <mergeCell ref="O8:O9"/>
    <mergeCell ref="M19:M20"/>
    <mergeCell ref="B21:B27"/>
    <mergeCell ref="L1:M1"/>
    <mergeCell ref="A2:M2"/>
    <mergeCell ref="G3:H3"/>
    <mergeCell ref="A4:A5"/>
    <mergeCell ref="B4:B5"/>
    <mergeCell ref="C4:C5"/>
    <mergeCell ref="D4:D5"/>
    <mergeCell ref="I4:J5"/>
    <mergeCell ref="K4:K5"/>
    <mergeCell ref="L4:L5"/>
    <mergeCell ref="M4:M5"/>
    <mergeCell ref="G4:H5"/>
    <mergeCell ref="A1:I1"/>
    <mergeCell ref="B28:B32"/>
    <mergeCell ref="B11:B13"/>
    <mergeCell ref="A17:M17"/>
    <mergeCell ref="A19:A20"/>
    <mergeCell ref="B19:B20"/>
    <mergeCell ref="C19:C20"/>
    <mergeCell ref="D19:D20"/>
    <mergeCell ref="I19:J20"/>
    <mergeCell ref="K19:K20"/>
    <mergeCell ref="L19:L20"/>
    <mergeCell ref="G19:H20"/>
    <mergeCell ref="E19:F20"/>
    <mergeCell ref="B6:B10"/>
    <mergeCell ref="E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P39"/>
  <sheetViews>
    <sheetView showGridLines="0" zoomScale="80" zoomScaleNormal="80" workbookViewId="0">
      <selection activeCell="M15" sqref="M15"/>
    </sheetView>
  </sheetViews>
  <sheetFormatPr defaultRowHeight="14.25"/>
  <cols>
    <col min="1" max="1" width="4.375" customWidth="1"/>
    <col min="2" max="2" width="11.375" customWidth="1"/>
    <col min="3" max="3" width="40.25" customWidth="1"/>
    <col min="4" max="4" width="13.5" customWidth="1"/>
    <col min="5" max="5" width="13.375" hidden="1" customWidth="1"/>
    <col min="6" max="6" width="10.875" customWidth="1"/>
    <col min="7" max="7" width="33.125" customWidth="1"/>
    <col min="8" max="8" width="9.75" customWidth="1"/>
    <col min="9" max="9" width="12.75" style="3" customWidth="1"/>
    <col min="10" max="10" width="10.75" style="3" customWidth="1"/>
    <col min="11" max="11" width="12.375" style="3" customWidth="1"/>
    <col min="12" max="12" width="13.875" customWidth="1"/>
    <col min="14" max="14" width="20.375" customWidth="1"/>
    <col min="15" max="15" width="16.125" customWidth="1"/>
    <col min="16" max="16" width="19.375" customWidth="1"/>
  </cols>
  <sheetData>
    <row r="1" spans="1:16" ht="37.5" customHeight="1">
      <c r="A1" s="93" t="s">
        <v>102</v>
      </c>
      <c r="B1" s="93"/>
      <c r="C1" s="93"/>
      <c r="D1" s="2"/>
      <c r="E1" s="2"/>
      <c r="F1" s="2"/>
      <c r="G1" s="2"/>
      <c r="H1" s="2"/>
      <c r="I1" s="45"/>
      <c r="J1" s="173" t="s">
        <v>50</v>
      </c>
      <c r="K1" s="173"/>
      <c r="L1" s="45"/>
    </row>
    <row r="2" spans="1:16" ht="26.25" customHeight="1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47"/>
      <c r="M2" s="47"/>
      <c r="N2" s="47"/>
      <c r="O2" s="47"/>
    </row>
    <row r="3" spans="1:16" ht="42.75" customHeight="1">
      <c r="A3" s="2"/>
      <c r="B3" s="2"/>
      <c r="C3" s="2"/>
      <c r="D3" s="17"/>
      <c r="E3" s="92" t="s">
        <v>52</v>
      </c>
      <c r="F3" s="91" t="s">
        <v>101</v>
      </c>
      <c r="G3" s="2"/>
      <c r="H3" s="2"/>
    </row>
    <row r="4" spans="1:16" ht="21.75" customHeight="1">
      <c r="A4" s="155" t="s">
        <v>18</v>
      </c>
      <c r="B4" s="156" t="s">
        <v>13</v>
      </c>
      <c r="C4" s="155" t="s">
        <v>14</v>
      </c>
      <c r="D4" s="158" t="s">
        <v>7</v>
      </c>
      <c r="E4" s="159" t="s">
        <v>49</v>
      </c>
      <c r="F4" s="160"/>
      <c r="G4" s="159" t="s">
        <v>17</v>
      </c>
      <c r="H4" s="160"/>
      <c r="I4" s="163" t="s">
        <v>12</v>
      </c>
      <c r="J4" s="165" t="s">
        <v>15</v>
      </c>
      <c r="K4" s="163" t="s">
        <v>16</v>
      </c>
    </row>
    <row r="5" spans="1:16" ht="19.5" customHeight="1">
      <c r="A5" s="155"/>
      <c r="B5" s="157"/>
      <c r="C5" s="155"/>
      <c r="D5" s="158"/>
      <c r="E5" s="161"/>
      <c r="F5" s="162"/>
      <c r="G5" s="161"/>
      <c r="H5" s="162"/>
      <c r="I5" s="164"/>
      <c r="J5" s="166"/>
      <c r="K5" s="164"/>
    </row>
    <row r="6" spans="1:16" ht="36.75" customHeight="1">
      <c r="A6" s="9">
        <v>1</v>
      </c>
      <c r="B6" s="153" t="s">
        <v>1</v>
      </c>
      <c r="C6" s="26" t="s">
        <v>46</v>
      </c>
      <c r="D6" s="10" t="s">
        <v>2</v>
      </c>
      <c r="E6" s="11">
        <v>80</v>
      </c>
      <c r="F6" s="11">
        <f>$E6+$E6*0.2</f>
        <v>96</v>
      </c>
      <c r="G6" s="10" t="s">
        <v>31</v>
      </c>
      <c r="H6" s="37">
        <v>25</v>
      </c>
      <c r="I6" s="12">
        <f>$F6*H6</f>
        <v>2400</v>
      </c>
      <c r="J6" s="25">
        <v>0.23</v>
      </c>
      <c r="K6" s="12">
        <f>I6*1.23</f>
        <v>2952</v>
      </c>
      <c r="L6" s="1"/>
      <c r="M6" s="38"/>
      <c r="N6" s="171" t="s">
        <v>21</v>
      </c>
      <c r="O6" s="171"/>
      <c r="P6" s="171"/>
    </row>
    <row r="7" spans="1:16" ht="40.5" customHeight="1">
      <c r="A7" s="9">
        <v>2</v>
      </c>
      <c r="B7" s="153"/>
      <c r="C7" s="10" t="s">
        <v>47</v>
      </c>
      <c r="D7" s="10" t="s">
        <v>8</v>
      </c>
      <c r="E7" s="11">
        <v>80</v>
      </c>
      <c r="F7" s="11">
        <f t="shared" ref="F7:F13" si="0">$E7+$E7*0.2</f>
        <v>96</v>
      </c>
      <c r="G7" s="10" t="s">
        <v>32</v>
      </c>
      <c r="H7" s="37">
        <v>10</v>
      </c>
      <c r="I7" s="12">
        <f t="shared" ref="I7:I13" si="1">$F7*H7</f>
        <v>960</v>
      </c>
      <c r="J7" s="25">
        <v>0.23</v>
      </c>
      <c r="K7" s="12">
        <f t="shared" ref="K7:K13" si="2">I7*1.23</f>
        <v>1180.8</v>
      </c>
      <c r="L7" s="1"/>
      <c r="M7" s="39"/>
      <c r="N7" s="40"/>
      <c r="O7" s="50" t="s">
        <v>29</v>
      </c>
      <c r="P7" s="50" t="s">
        <v>30</v>
      </c>
    </row>
    <row r="8" spans="1:16" ht="36.75" customHeight="1">
      <c r="A8" s="9">
        <v>3</v>
      </c>
      <c r="B8" s="153"/>
      <c r="C8" s="30" t="s">
        <v>20</v>
      </c>
      <c r="D8" s="10" t="s">
        <v>2</v>
      </c>
      <c r="E8" s="11">
        <v>80</v>
      </c>
      <c r="F8" s="11">
        <f t="shared" si="0"/>
        <v>96</v>
      </c>
      <c r="G8" s="10" t="s">
        <v>33</v>
      </c>
      <c r="H8" s="37">
        <v>40</v>
      </c>
      <c r="I8" s="12">
        <f t="shared" si="1"/>
        <v>3840</v>
      </c>
      <c r="J8" s="25">
        <v>0.23</v>
      </c>
      <c r="K8" s="12">
        <f t="shared" si="2"/>
        <v>4723.2</v>
      </c>
      <c r="L8" s="1"/>
      <c r="M8" s="172" t="s">
        <v>28</v>
      </c>
      <c r="N8" s="41" t="s">
        <v>42</v>
      </c>
      <c r="O8" s="42">
        <f>I14</f>
        <v>13140</v>
      </c>
      <c r="P8" s="42">
        <f>K14</f>
        <v>16162.2</v>
      </c>
    </row>
    <row r="9" spans="1:16" ht="36.75" customHeight="1">
      <c r="A9" s="9">
        <v>4</v>
      </c>
      <c r="B9" s="153"/>
      <c r="C9" s="33" t="s">
        <v>26</v>
      </c>
      <c r="D9" s="10" t="s">
        <v>8</v>
      </c>
      <c r="E9" s="11">
        <v>80</v>
      </c>
      <c r="F9" s="11">
        <f t="shared" si="0"/>
        <v>96</v>
      </c>
      <c r="G9" s="34" t="s">
        <v>34</v>
      </c>
      <c r="H9" s="10">
        <v>1</v>
      </c>
      <c r="I9" s="12">
        <f t="shared" si="1"/>
        <v>96</v>
      </c>
      <c r="J9" s="35">
        <v>0.23</v>
      </c>
      <c r="K9" s="12">
        <f t="shared" si="2"/>
        <v>118.08</v>
      </c>
      <c r="L9" s="1"/>
      <c r="M9" s="172"/>
      <c r="N9" s="41" t="s">
        <v>53</v>
      </c>
      <c r="O9" s="42">
        <f>I33</f>
        <v>100848</v>
      </c>
      <c r="P9" s="42">
        <f>K33</f>
        <v>124043.04000000001</v>
      </c>
    </row>
    <row r="10" spans="1:16" ht="36.75" customHeight="1">
      <c r="A10" s="9">
        <v>5</v>
      </c>
      <c r="B10" s="153"/>
      <c r="C10" s="44" t="s">
        <v>3</v>
      </c>
      <c r="D10" s="10" t="s">
        <v>4</v>
      </c>
      <c r="E10" s="11">
        <v>150</v>
      </c>
      <c r="F10" s="11">
        <f t="shared" si="0"/>
        <v>180</v>
      </c>
      <c r="G10" s="10" t="s">
        <v>36</v>
      </c>
      <c r="H10" s="10">
        <v>4</v>
      </c>
      <c r="I10" s="12">
        <f t="shared" si="1"/>
        <v>720</v>
      </c>
      <c r="J10" s="35">
        <v>0.23</v>
      </c>
      <c r="K10" s="12">
        <f t="shared" si="2"/>
        <v>885.6</v>
      </c>
      <c r="L10" s="1"/>
      <c r="M10" s="62"/>
      <c r="N10" s="63" t="s">
        <v>0</v>
      </c>
      <c r="O10" s="98">
        <f>SUM(O8:O9)</f>
        <v>113988</v>
      </c>
      <c r="P10" s="98">
        <f>SUM(P8:P9)</f>
        <v>140205.24000000002</v>
      </c>
    </row>
    <row r="11" spans="1:16" ht="36.75" customHeight="1">
      <c r="A11" s="9">
        <v>6</v>
      </c>
      <c r="B11" s="153" t="s">
        <v>6</v>
      </c>
      <c r="C11" s="10" t="s">
        <v>19</v>
      </c>
      <c r="D11" s="10" t="s">
        <v>2</v>
      </c>
      <c r="E11" s="11">
        <v>70</v>
      </c>
      <c r="F11" s="11">
        <f t="shared" si="0"/>
        <v>84</v>
      </c>
      <c r="G11" s="10" t="s">
        <v>37</v>
      </c>
      <c r="H11" s="10">
        <v>30</v>
      </c>
      <c r="I11" s="12">
        <f t="shared" si="1"/>
        <v>2520</v>
      </c>
      <c r="J11" s="35">
        <v>0.23</v>
      </c>
      <c r="K11" s="12">
        <f t="shared" si="2"/>
        <v>3099.6</v>
      </c>
      <c r="L11" s="1"/>
      <c r="M11" s="62"/>
      <c r="N11" s="63" t="s">
        <v>11</v>
      </c>
      <c r="O11" s="99">
        <f>O10/4.2249</f>
        <v>26980.046865014556</v>
      </c>
      <c r="P11" s="99">
        <f>P10/4.2249</f>
        <v>33185.457643967908</v>
      </c>
    </row>
    <row r="12" spans="1:16" ht="36.75" customHeight="1">
      <c r="A12" s="9">
        <v>7</v>
      </c>
      <c r="B12" s="153"/>
      <c r="C12" s="10" t="s">
        <v>48</v>
      </c>
      <c r="D12" s="10" t="s">
        <v>2</v>
      </c>
      <c r="E12" s="11">
        <v>70</v>
      </c>
      <c r="F12" s="11">
        <f t="shared" si="0"/>
        <v>84</v>
      </c>
      <c r="G12" s="10" t="s">
        <v>38</v>
      </c>
      <c r="H12" s="10">
        <v>30</v>
      </c>
      <c r="I12" s="12">
        <f t="shared" si="1"/>
        <v>2520</v>
      </c>
      <c r="J12" s="35">
        <v>0.23</v>
      </c>
      <c r="K12" s="12">
        <f t="shared" si="2"/>
        <v>3099.6</v>
      </c>
      <c r="L12" s="1"/>
    </row>
    <row r="13" spans="1:16" ht="36.75" customHeight="1">
      <c r="A13" s="9">
        <v>8</v>
      </c>
      <c r="B13" s="153"/>
      <c r="C13" s="33" t="s">
        <v>24</v>
      </c>
      <c r="D13" s="10" t="s">
        <v>8</v>
      </c>
      <c r="E13" s="11">
        <v>70</v>
      </c>
      <c r="F13" s="11">
        <f t="shared" si="0"/>
        <v>84</v>
      </c>
      <c r="G13" s="10" t="s">
        <v>40</v>
      </c>
      <c r="H13" s="36">
        <f>1*1*1</f>
        <v>1</v>
      </c>
      <c r="I13" s="12">
        <f t="shared" si="1"/>
        <v>84</v>
      </c>
      <c r="J13" s="35">
        <v>0.23</v>
      </c>
      <c r="K13" s="12">
        <f t="shared" si="2"/>
        <v>103.32</v>
      </c>
      <c r="L13" s="1"/>
    </row>
    <row r="14" spans="1:16" ht="15.75">
      <c r="A14" s="13"/>
      <c r="B14" s="32" t="s">
        <v>22</v>
      </c>
      <c r="C14" s="14"/>
      <c r="D14" s="14"/>
      <c r="E14" s="15"/>
      <c r="F14" s="15"/>
      <c r="G14" s="14"/>
      <c r="H14" s="94" t="s">
        <v>0</v>
      </c>
      <c r="I14" s="95">
        <f>SUM(I6:I13)</f>
        <v>13140</v>
      </c>
      <c r="J14" s="96"/>
      <c r="K14" s="97">
        <f>SUM(K6:K13)</f>
        <v>16162.2</v>
      </c>
      <c r="L14" s="1"/>
    </row>
    <row r="15" spans="1:16" ht="15">
      <c r="A15" s="16"/>
      <c r="B15" s="16"/>
      <c r="C15" s="16"/>
      <c r="D15" s="16"/>
      <c r="E15" s="16"/>
      <c r="F15" s="16"/>
      <c r="G15" s="16"/>
      <c r="H15" s="18"/>
      <c r="I15" s="19"/>
      <c r="J15" s="19"/>
      <c r="K15" s="24"/>
    </row>
    <row r="16" spans="1:16" ht="15">
      <c r="H16" s="22"/>
      <c r="I16" s="28"/>
      <c r="J16" s="23"/>
      <c r="K16" s="20"/>
    </row>
    <row r="17" spans="1:12" ht="29.25" customHeight="1">
      <c r="A17" s="154" t="s">
        <v>74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2" ht="49.5" customHeight="1">
      <c r="A18" s="2"/>
      <c r="B18" s="2"/>
      <c r="C18" s="2"/>
      <c r="D18" s="17"/>
      <c r="E18" s="92" t="s">
        <v>52</v>
      </c>
      <c r="F18" s="91" t="s">
        <v>101</v>
      </c>
      <c r="G18" s="2"/>
      <c r="H18" s="2"/>
    </row>
    <row r="19" spans="1:12" ht="14.25" customHeight="1">
      <c r="A19" s="155" t="s">
        <v>18</v>
      </c>
      <c r="B19" s="156" t="s">
        <v>13</v>
      </c>
      <c r="C19" s="155" t="s">
        <v>14</v>
      </c>
      <c r="D19" s="158" t="s">
        <v>7</v>
      </c>
      <c r="E19" s="159" t="s">
        <v>49</v>
      </c>
      <c r="F19" s="160"/>
      <c r="G19" s="159" t="s">
        <v>17</v>
      </c>
      <c r="H19" s="160"/>
      <c r="I19" s="163" t="s">
        <v>12</v>
      </c>
      <c r="J19" s="165" t="s">
        <v>15</v>
      </c>
      <c r="K19" s="163" t="s">
        <v>16</v>
      </c>
    </row>
    <row r="20" spans="1:12" ht="28.5" customHeight="1">
      <c r="A20" s="155"/>
      <c r="B20" s="157"/>
      <c r="C20" s="155"/>
      <c r="D20" s="158"/>
      <c r="E20" s="161"/>
      <c r="F20" s="162"/>
      <c r="G20" s="161"/>
      <c r="H20" s="162"/>
      <c r="I20" s="164"/>
      <c r="J20" s="166"/>
      <c r="K20" s="164"/>
    </row>
    <row r="21" spans="1:12" ht="38.25" customHeight="1">
      <c r="A21" s="9">
        <v>1</v>
      </c>
      <c r="B21" s="153" t="s">
        <v>1</v>
      </c>
      <c r="C21" s="26" t="s">
        <v>46</v>
      </c>
      <c r="D21" s="10" t="s">
        <v>2</v>
      </c>
      <c r="E21" s="11">
        <v>80</v>
      </c>
      <c r="F21" s="11">
        <f>$E21+$E21*0.2</f>
        <v>96</v>
      </c>
      <c r="G21" s="34" t="s">
        <v>106</v>
      </c>
      <c r="H21" s="43">
        <f>10*1*4+15*1</f>
        <v>55</v>
      </c>
      <c r="I21" s="12">
        <f>$F21*H21</f>
        <v>5280</v>
      </c>
      <c r="J21" s="25">
        <v>0.23</v>
      </c>
      <c r="K21" s="12">
        <f>I21*1.23</f>
        <v>6494.4</v>
      </c>
    </row>
    <row r="22" spans="1:12" ht="38.25" customHeight="1">
      <c r="A22" s="9">
        <v>2</v>
      </c>
      <c r="B22" s="153"/>
      <c r="C22" s="10" t="s">
        <v>47</v>
      </c>
      <c r="D22" s="10" t="s">
        <v>8</v>
      </c>
      <c r="E22" s="11">
        <v>80</v>
      </c>
      <c r="F22" s="11">
        <f t="shared" ref="F22:F32" si="3">$E22+$E22*0.2</f>
        <v>96</v>
      </c>
      <c r="G22" s="34" t="s">
        <v>41</v>
      </c>
      <c r="H22" s="43">
        <f>10*1*5+160*1</f>
        <v>210</v>
      </c>
      <c r="I22" s="12">
        <f t="shared" ref="I22:I32" si="4">$F22*H22</f>
        <v>20160</v>
      </c>
      <c r="J22" s="25">
        <v>0.23</v>
      </c>
      <c r="K22" s="12">
        <f t="shared" ref="K22:K32" si="5">I22*1.23</f>
        <v>24796.799999999999</v>
      </c>
    </row>
    <row r="23" spans="1:12" ht="37.5" customHeight="1">
      <c r="A23" s="9">
        <v>3</v>
      </c>
      <c r="B23" s="153"/>
      <c r="C23" s="30" t="s">
        <v>20</v>
      </c>
      <c r="D23" s="10" t="s">
        <v>2</v>
      </c>
      <c r="E23" s="11">
        <v>80</v>
      </c>
      <c r="F23" s="11">
        <f t="shared" si="3"/>
        <v>96</v>
      </c>
      <c r="G23" s="34" t="s">
        <v>107</v>
      </c>
      <c r="H23" s="43">
        <f>10*1*4+15*2*4</f>
        <v>160</v>
      </c>
      <c r="I23" s="12">
        <f t="shared" si="4"/>
        <v>15360</v>
      </c>
      <c r="J23" s="25">
        <v>0.23</v>
      </c>
      <c r="K23" s="12">
        <f t="shared" si="5"/>
        <v>18892.8</v>
      </c>
    </row>
    <row r="24" spans="1:12" ht="37.5" customHeight="1">
      <c r="A24" s="9">
        <v>4</v>
      </c>
      <c r="B24" s="153"/>
      <c r="C24" s="33" t="s">
        <v>26</v>
      </c>
      <c r="D24" s="10" t="s">
        <v>8</v>
      </c>
      <c r="E24" s="11">
        <v>80</v>
      </c>
      <c r="F24" s="11">
        <f t="shared" si="3"/>
        <v>96</v>
      </c>
      <c r="G24" s="34" t="s">
        <v>35</v>
      </c>
      <c r="H24" s="10">
        <f>1*1*3+1*1*1</f>
        <v>4</v>
      </c>
      <c r="I24" s="12">
        <f t="shared" si="4"/>
        <v>384</v>
      </c>
      <c r="J24" s="35">
        <v>0.23</v>
      </c>
      <c r="K24" s="12">
        <f t="shared" si="5"/>
        <v>472.32</v>
      </c>
    </row>
    <row r="25" spans="1:12" ht="37.5" customHeight="1">
      <c r="A25" s="9">
        <v>5</v>
      </c>
      <c r="B25" s="153"/>
      <c r="C25" s="10" t="s">
        <v>27</v>
      </c>
      <c r="D25" s="10" t="s">
        <v>8</v>
      </c>
      <c r="E25" s="11">
        <v>80</v>
      </c>
      <c r="F25" s="11">
        <f t="shared" si="3"/>
        <v>96</v>
      </c>
      <c r="G25" s="34" t="s">
        <v>25</v>
      </c>
      <c r="H25" s="10">
        <f>10*1*1+15*2*1</f>
        <v>40</v>
      </c>
      <c r="I25" s="12">
        <f t="shared" si="4"/>
        <v>3840</v>
      </c>
      <c r="J25" s="35">
        <v>0.23</v>
      </c>
      <c r="K25" s="12">
        <f t="shared" si="5"/>
        <v>4723.2</v>
      </c>
    </row>
    <row r="26" spans="1:12" ht="37.5" customHeight="1">
      <c r="A26" s="9">
        <v>6</v>
      </c>
      <c r="B26" s="153"/>
      <c r="C26" s="43" t="s">
        <v>3</v>
      </c>
      <c r="D26" s="10" t="s">
        <v>4</v>
      </c>
      <c r="E26" s="11">
        <v>150</v>
      </c>
      <c r="F26" s="11">
        <f t="shared" si="3"/>
        <v>180</v>
      </c>
      <c r="G26" s="34" t="s">
        <v>36</v>
      </c>
      <c r="H26" s="10">
        <f>4*1*1</f>
        <v>4</v>
      </c>
      <c r="I26" s="12">
        <f t="shared" si="4"/>
        <v>720</v>
      </c>
      <c r="J26" s="35">
        <v>0.23</v>
      </c>
      <c r="K26" s="12">
        <f t="shared" si="5"/>
        <v>885.6</v>
      </c>
    </row>
    <row r="27" spans="1:12" ht="37.5" customHeight="1">
      <c r="A27" s="9">
        <v>7</v>
      </c>
      <c r="B27" s="153"/>
      <c r="C27" s="43" t="s">
        <v>5</v>
      </c>
      <c r="D27" s="10" t="s">
        <v>2</v>
      </c>
      <c r="E27" s="11">
        <v>80</v>
      </c>
      <c r="F27" s="11">
        <f t="shared" si="3"/>
        <v>96</v>
      </c>
      <c r="G27" s="34" t="s">
        <v>76</v>
      </c>
      <c r="H27" s="10">
        <f>14*4</f>
        <v>56</v>
      </c>
      <c r="I27" s="12">
        <f t="shared" si="4"/>
        <v>5376</v>
      </c>
      <c r="J27" s="35">
        <v>0.23</v>
      </c>
      <c r="K27" s="12">
        <f t="shared" si="5"/>
        <v>6612.48</v>
      </c>
    </row>
    <row r="28" spans="1:12" ht="37.5" customHeight="1">
      <c r="A28" s="9">
        <v>8</v>
      </c>
      <c r="B28" s="153" t="s">
        <v>6</v>
      </c>
      <c r="C28" s="10" t="s">
        <v>19</v>
      </c>
      <c r="D28" s="10" t="s">
        <v>2</v>
      </c>
      <c r="E28" s="11">
        <v>70</v>
      </c>
      <c r="F28" s="11">
        <f t="shared" si="3"/>
        <v>84</v>
      </c>
      <c r="G28" s="34" t="s">
        <v>105</v>
      </c>
      <c r="H28" s="10">
        <f>15*2*1*5</f>
        <v>150</v>
      </c>
      <c r="I28" s="12">
        <f t="shared" si="4"/>
        <v>12600</v>
      </c>
      <c r="J28" s="35">
        <v>0.23</v>
      </c>
      <c r="K28" s="12">
        <f t="shared" si="5"/>
        <v>15498</v>
      </c>
    </row>
    <row r="29" spans="1:12" ht="37.5" customHeight="1">
      <c r="A29" s="9">
        <v>9</v>
      </c>
      <c r="B29" s="153"/>
      <c r="C29" s="10" t="s">
        <v>9</v>
      </c>
      <c r="D29" s="10" t="s">
        <v>8</v>
      </c>
      <c r="E29" s="11">
        <v>70</v>
      </c>
      <c r="F29" s="11">
        <f t="shared" si="3"/>
        <v>84</v>
      </c>
      <c r="G29" s="34" t="s">
        <v>23</v>
      </c>
      <c r="H29" s="10">
        <f>160*1*2</f>
        <v>320</v>
      </c>
      <c r="I29" s="12">
        <f t="shared" si="4"/>
        <v>26880</v>
      </c>
      <c r="J29" s="35">
        <v>0.23</v>
      </c>
      <c r="K29" s="12">
        <f t="shared" si="5"/>
        <v>33062.400000000001</v>
      </c>
    </row>
    <row r="30" spans="1:12" ht="37.5" customHeight="1">
      <c r="A30" s="9">
        <v>10</v>
      </c>
      <c r="B30" s="153"/>
      <c r="C30" s="10" t="s">
        <v>48</v>
      </c>
      <c r="D30" s="10" t="s">
        <v>2</v>
      </c>
      <c r="E30" s="11">
        <v>70</v>
      </c>
      <c r="F30" s="11">
        <f t="shared" si="3"/>
        <v>84</v>
      </c>
      <c r="G30" s="34" t="s">
        <v>108</v>
      </c>
      <c r="H30" s="10">
        <f>15*2*1*3</f>
        <v>90</v>
      </c>
      <c r="I30" s="12">
        <f t="shared" si="4"/>
        <v>7560</v>
      </c>
      <c r="J30" s="35">
        <v>0.23</v>
      </c>
      <c r="K30" s="12">
        <f t="shared" si="5"/>
        <v>9298.7999999999993</v>
      </c>
    </row>
    <row r="31" spans="1:12" ht="37.5" customHeight="1">
      <c r="A31" s="9">
        <v>11</v>
      </c>
      <c r="B31" s="153"/>
      <c r="C31" s="33" t="s">
        <v>24</v>
      </c>
      <c r="D31" s="10" t="s">
        <v>8</v>
      </c>
      <c r="E31" s="11">
        <v>70</v>
      </c>
      <c r="F31" s="11">
        <f t="shared" si="3"/>
        <v>84</v>
      </c>
      <c r="G31" s="34" t="s">
        <v>39</v>
      </c>
      <c r="H31" s="36">
        <f>1*1*2</f>
        <v>2</v>
      </c>
      <c r="I31" s="12">
        <f t="shared" si="4"/>
        <v>168</v>
      </c>
      <c r="J31" s="35">
        <v>0.23</v>
      </c>
      <c r="K31" s="12">
        <f t="shared" si="5"/>
        <v>206.64</v>
      </c>
    </row>
    <row r="32" spans="1:12" ht="37.5" customHeight="1">
      <c r="A32" s="9">
        <v>12</v>
      </c>
      <c r="B32" s="153"/>
      <c r="C32" s="34" t="s">
        <v>10</v>
      </c>
      <c r="D32" s="43" t="s">
        <v>8</v>
      </c>
      <c r="E32" s="11">
        <v>70</v>
      </c>
      <c r="F32" s="11">
        <f t="shared" si="3"/>
        <v>84</v>
      </c>
      <c r="G32" s="34" t="s">
        <v>38</v>
      </c>
      <c r="H32" s="36">
        <f>15*2*1*1</f>
        <v>30</v>
      </c>
      <c r="I32" s="12">
        <f t="shared" si="4"/>
        <v>2520</v>
      </c>
      <c r="J32" s="35">
        <v>0.23</v>
      </c>
      <c r="K32" s="12">
        <f t="shared" si="5"/>
        <v>3099.6</v>
      </c>
      <c r="L32" s="1"/>
    </row>
    <row r="33" spans="1:11" ht="15.75">
      <c r="A33" s="13"/>
      <c r="B33" s="32" t="s">
        <v>22</v>
      </c>
      <c r="C33" s="14"/>
      <c r="D33" s="14"/>
      <c r="E33" s="15"/>
      <c r="F33" s="15"/>
      <c r="G33" s="14"/>
      <c r="H33" s="94" t="s">
        <v>0</v>
      </c>
      <c r="I33" s="95">
        <f>SUM(I21:I32)</f>
        <v>100848</v>
      </c>
      <c r="J33" s="96"/>
      <c r="K33" s="97">
        <f t="shared" ref="K33" si="6">SUM(K21:K32)</f>
        <v>124043.04000000001</v>
      </c>
    </row>
    <row r="34" spans="1:11">
      <c r="I34"/>
      <c r="J34"/>
      <c r="K34" s="6"/>
    </row>
    <row r="35" spans="1:11">
      <c r="I35"/>
      <c r="J35"/>
      <c r="K35" s="4"/>
    </row>
    <row r="36" spans="1:11">
      <c r="I36"/>
      <c r="J36"/>
      <c r="K36" s="7"/>
    </row>
    <row r="37" spans="1:11">
      <c r="I37"/>
      <c r="J37"/>
      <c r="K37" s="5"/>
    </row>
    <row r="38" spans="1:11">
      <c r="I38"/>
      <c r="J38"/>
      <c r="K38" s="8"/>
    </row>
    <row r="39" spans="1:11">
      <c r="I39"/>
      <c r="J39"/>
      <c r="K39"/>
    </row>
  </sheetData>
  <mergeCells count="27">
    <mergeCell ref="B21:B27"/>
    <mergeCell ref="B28:B32"/>
    <mergeCell ref="J1:K1"/>
    <mergeCell ref="A17:K17"/>
    <mergeCell ref="A19:A20"/>
    <mergeCell ref="B19:B20"/>
    <mergeCell ref="C19:C20"/>
    <mergeCell ref="D19:D20"/>
    <mergeCell ref="G19:H20"/>
    <mergeCell ref="I19:I20"/>
    <mergeCell ref="J19:J20"/>
    <mergeCell ref="K19:K20"/>
    <mergeCell ref="B6:B10"/>
    <mergeCell ref="B11:B13"/>
    <mergeCell ref="A2:K2"/>
    <mergeCell ref="A4:A5"/>
    <mergeCell ref="B4:B5"/>
    <mergeCell ref="C4:C5"/>
    <mergeCell ref="D4:D5"/>
    <mergeCell ref="E4:F5"/>
    <mergeCell ref="E19:F20"/>
    <mergeCell ref="G4:H5"/>
    <mergeCell ref="N6:P6"/>
    <mergeCell ref="M8:M9"/>
    <mergeCell ref="J4:J5"/>
    <mergeCell ref="K4:K5"/>
    <mergeCell ref="I4:I5"/>
  </mergeCells>
  <pageMargins left="0.38" right="0.32" top="0.23" bottom="0.74803149606299213" header="0.17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P17"/>
  <sheetViews>
    <sheetView showGridLines="0" zoomScale="90" zoomScaleNormal="90" workbookViewId="0">
      <selection activeCell="E24" sqref="E24"/>
    </sheetView>
  </sheetViews>
  <sheetFormatPr defaultRowHeight="14.25"/>
  <cols>
    <col min="1" max="2" width="4.125" customWidth="1"/>
    <col min="4" max="4" width="13.625" customWidth="1"/>
    <col min="5" max="5" width="53" customWidth="1"/>
    <col min="6" max="6" width="19.125" customWidth="1"/>
    <col min="7" max="7" width="20.875" bestFit="1" customWidth="1"/>
    <col min="8" max="8" width="21.5" hidden="1" customWidth="1"/>
    <col min="9" max="9" width="20" customWidth="1"/>
    <col min="10" max="10" width="21.5" hidden="1" customWidth="1"/>
    <col min="11" max="11" width="18.375" customWidth="1"/>
    <col min="12" max="12" width="13.5" hidden="1" customWidth="1"/>
    <col min="14" max="14" width="11" customWidth="1"/>
  </cols>
  <sheetData>
    <row r="2" spans="3:16" ht="51.75" customHeight="1">
      <c r="C2" s="2"/>
      <c r="D2" s="2"/>
      <c r="E2" s="2"/>
      <c r="F2" s="52"/>
      <c r="G2" s="56" t="s">
        <v>55</v>
      </c>
      <c r="H2" s="53"/>
      <c r="I2" s="54" t="s">
        <v>58</v>
      </c>
      <c r="J2" s="55"/>
      <c r="K2" s="54" t="s">
        <v>70</v>
      </c>
      <c r="O2" s="174"/>
      <c r="P2" s="174"/>
    </row>
    <row r="3" spans="3:16" ht="22.5" customHeight="1">
      <c r="C3" s="2"/>
      <c r="D3" s="2"/>
      <c r="E3" s="2"/>
      <c r="F3" s="2"/>
      <c r="G3" s="56" t="s">
        <v>57</v>
      </c>
      <c r="H3" s="53"/>
      <c r="I3" s="54" t="s">
        <v>54</v>
      </c>
      <c r="J3" s="54" t="s">
        <v>71</v>
      </c>
      <c r="K3" s="54" t="s">
        <v>73</v>
      </c>
      <c r="O3" s="51"/>
      <c r="P3" s="51"/>
    </row>
    <row r="4" spans="3:16" ht="18.75" customHeight="1">
      <c r="C4" s="178" t="s">
        <v>18</v>
      </c>
      <c r="D4" s="179" t="s">
        <v>13</v>
      </c>
      <c r="E4" s="178" t="s">
        <v>14</v>
      </c>
      <c r="F4" s="177" t="s">
        <v>7</v>
      </c>
      <c r="G4" s="175" t="s">
        <v>45</v>
      </c>
      <c r="H4" s="175" t="s">
        <v>69</v>
      </c>
      <c r="I4" s="175" t="s">
        <v>45</v>
      </c>
      <c r="J4" s="175" t="s">
        <v>69</v>
      </c>
      <c r="K4" s="175" t="s">
        <v>45</v>
      </c>
      <c r="L4" s="175" t="s">
        <v>72</v>
      </c>
    </row>
    <row r="5" spans="3:16">
      <c r="C5" s="178"/>
      <c r="D5" s="180"/>
      <c r="E5" s="178"/>
      <c r="F5" s="177"/>
      <c r="G5" s="176"/>
      <c r="H5" s="176"/>
      <c r="I5" s="176"/>
      <c r="J5" s="176"/>
      <c r="K5" s="176"/>
      <c r="L5" s="176"/>
    </row>
    <row r="6" spans="3:16" ht="30.75" customHeight="1">
      <c r="C6" s="9">
        <v>1</v>
      </c>
      <c r="D6" s="153" t="s">
        <v>1</v>
      </c>
      <c r="E6" s="57" t="s">
        <v>59</v>
      </c>
      <c r="F6" s="10" t="s">
        <v>2</v>
      </c>
      <c r="G6" s="11">
        <v>70</v>
      </c>
      <c r="H6" s="11">
        <f>G6+G6*0.23</f>
        <v>86.1</v>
      </c>
      <c r="I6" s="11">
        <v>80</v>
      </c>
      <c r="J6" s="11">
        <f>I6+I6*0.23</f>
        <v>98.4</v>
      </c>
      <c r="K6" s="11">
        <v>96</v>
      </c>
      <c r="L6" s="11">
        <f>K6+K6*0.23</f>
        <v>118.08</v>
      </c>
    </row>
    <row r="7" spans="3:16" ht="30.75" customHeight="1">
      <c r="C7" s="9">
        <v>2</v>
      </c>
      <c r="D7" s="153"/>
      <c r="E7" s="58" t="s">
        <v>60</v>
      </c>
      <c r="F7" s="10" t="s">
        <v>8</v>
      </c>
      <c r="G7" s="11">
        <v>60</v>
      </c>
      <c r="H7" s="11">
        <f t="shared" ref="H7:H14" si="0">G7+G7*0.23</f>
        <v>73.8</v>
      </c>
      <c r="I7" s="11">
        <v>80</v>
      </c>
      <c r="J7" s="11">
        <f t="shared" ref="J7:J17" si="1">I7+I7*0.23</f>
        <v>98.4</v>
      </c>
      <c r="K7" s="11">
        <v>96</v>
      </c>
      <c r="L7" s="11">
        <f t="shared" ref="L7:L17" si="2">K7+K7*0.23</f>
        <v>118.08</v>
      </c>
    </row>
    <row r="8" spans="3:16" ht="30.75" customHeight="1">
      <c r="C8" s="9">
        <v>3</v>
      </c>
      <c r="D8" s="153"/>
      <c r="E8" s="59" t="s">
        <v>61</v>
      </c>
      <c r="F8" s="10" t="s">
        <v>2</v>
      </c>
      <c r="G8" s="11">
        <v>70</v>
      </c>
      <c r="H8" s="11">
        <f t="shared" si="0"/>
        <v>86.1</v>
      </c>
      <c r="I8" s="11">
        <v>80</v>
      </c>
      <c r="J8" s="11">
        <f t="shared" si="1"/>
        <v>98.4</v>
      </c>
      <c r="K8" s="11">
        <v>96</v>
      </c>
      <c r="L8" s="11">
        <f t="shared" si="2"/>
        <v>118.08</v>
      </c>
    </row>
    <row r="9" spans="3:16" ht="30.75" customHeight="1">
      <c r="C9" s="9">
        <v>4</v>
      </c>
      <c r="D9" s="153"/>
      <c r="E9" s="60" t="s">
        <v>26</v>
      </c>
      <c r="F9" s="10" t="s">
        <v>8</v>
      </c>
      <c r="G9" s="11" t="s">
        <v>56</v>
      </c>
      <c r="H9" s="11" t="s">
        <v>56</v>
      </c>
      <c r="I9" s="11">
        <v>80</v>
      </c>
      <c r="J9" s="11">
        <f t="shared" si="1"/>
        <v>98.4</v>
      </c>
      <c r="K9" s="11">
        <v>96</v>
      </c>
      <c r="L9" s="11">
        <f t="shared" si="2"/>
        <v>118.08</v>
      </c>
    </row>
    <row r="10" spans="3:16" ht="30.75" customHeight="1">
      <c r="C10" s="9">
        <v>5</v>
      </c>
      <c r="D10" s="153"/>
      <c r="E10" s="58" t="s">
        <v>62</v>
      </c>
      <c r="F10" s="10" t="s">
        <v>8</v>
      </c>
      <c r="G10" s="11" t="s">
        <v>56</v>
      </c>
      <c r="H10" s="11" t="s">
        <v>56</v>
      </c>
      <c r="I10" s="11">
        <v>80</v>
      </c>
      <c r="J10" s="11">
        <f t="shared" si="1"/>
        <v>98.4</v>
      </c>
      <c r="K10" s="11">
        <v>96</v>
      </c>
      <c r="L10" s="11">
        <f t="shared" si="2"/>
        <v>118.08</v>
      </c>
    </row>
    <row r="11" spans="3:16" ht="30.75" customHeight="1">
      <c r="C11" s="9">
        <v>6</v>
      </c>
      <c r="D11" s="153"/>
      <c r="E11" s="49" t="s">
        <v>63</v>
      </c>
      <c r="F11" s="10" t="s">
        <v>4</v>
      </c>
      <c r="G11" s="11">
        <v>50</v>
      </c>
      <c r="H11" s="11">
        <f t="shared" si="0"/>
        <v>61.5</v>
      </c>
      <c r="I11" s="11">
        <v>150</v>
      </c>
      <c r="J11" s="11">
        <f t="shared" si="1"/>
        <v>184.5</v>
      </c>
      <c r="K11" s="11">
        <v>180</v>
      </c>
      <c r="L11" s="11">
        <f t="shared" si="2"/>
        <v>221.4</v>
      </c>
    </row>
    <row r="12" spans="3:16" ht="30.75" customHeight="1">
      <c r="C12" s="9">
        <v>7</v>
      </c>
      <c r="D12" s="153"/>
      <c r="E12" s="49" t="s">
        <v>64</v>
      </c>
      <c r="F12" s="10" t="s">
        <v>2</v>
      </c>
      <c r="G12" s="11">
        <v>70</v>
      </c>
      <c r="H12" s="11">
        <f t="shared" si="0"/>
        <v>86.1</v>
      </c>
      <c r="I12" s="11">
        <v>80</v>
      </c>
      <c r="J12" s="11">
        <f t="shared" si="1"/>
        <v>98.4</v>
      </c>
      <c r="K12" s="11">
        <v>96</v>
      </c>
      <c r="L12" s="11">
        <f t="shared" si="2"/>
        <v>118.08</v>
      </c>
    </row>
    <row r="13" spans="3:16" ht="30.75" customHeight="1">
      <c r="C13" s="9">
        <v>8</v>
      </c>
      <c r="D13" s="153" t="s">
        <v>6</v>
      </c>
      <c r="E13" s="58" t="s">
        <v>65</v>
      </c>
      <c r="F13" s="10" t="s">
        <v>2</v>
      </c>
      <c r="G13" s="11">
        <v>70</v>
      </c>
      <c r="H13" s="11">
        <f t="shared" si="0"/>
        <v>86.1</v>
      </c>
      <c r="I13" s="11">
        <v>70</v>
      </c>
      <c r="J13" s="11">
        <f t="shared" si="1"/>
        <v>86.1</v>
      </c>
      <c r="K13" s="11">
        <v>84</v>
      </c>
      <c r="L13" s="11">
        <f t="shared" si="2"/>
        <v>103.32</v>
      </c>
    </row>
    <row r="14" spans="3:16" ht="30.75" customHeight="1">
      <c r="C14" s="9">
        <v>9</v>
      </c>
      <c r="D14" s="153"/>
      <c r="E14" s="58" t="s">
        <v>66</v>
      </c>
      <c r="F14" s="10" t="s">
        <v>8</v>
      </c>
      <c r="G14" s="11">
        <v>60</v>
      </c>
      <c r="H14" s="11">
        <f t="shared" si="0"/>
        <v>73.8</v>
      </c>
      <c r="I14" s="11">
        <v>70</v>
      </c>
      <c r="J14" s="11">
        <f t="shared" si="1"/>
        <v>86.1</v>
      </c>
      <c r="K14" s="11">
        <v>84</v>
      </c>
      <c r="L14" s="11">
        <f t="shared" si="2"/>
        <v>103.32</v>
      </c>
    </row>
    <row r="15" spans="3:16" ht="30.75" customHeight="1">
      <c r="C15" s="9">
        <v>10</v>
      </c>
      <c r="D15" s="153"/>
      <c r="E15" s="58" t="s">
        <v>67</v>
      </c>
      <c r="F15" s="10" t="s">
        <v>2</v>
      </c>
      <c r="G15" s="11" t="s">
        <v>56</v>
      </c>
      <c r="H15" s="11" t="s">
        <v>56</v>
      </c>
      <c r="I15" s="11">
        <v>70</v>
      </c>
      <c r="J15" s="11">
        <f t="shared" si="1"/>
        <v>86.1</v>
      </c>
      <c r="K15" s="11">
        <v>84</v>
      </c>
      <c r="L15" s="11">
        <f t="shared" si="2"/>
        <v>103.32</v>
      </c>
    </row>
    <row r="16" spans="3:16" ht="30.75" customHeight="1">
      <c r="C16" s="9">
        <v>11</v>
      </c>
      <c r="D16" s="153"/>
      <c r="E16" s="60" t="s">
        <v>24</v>
      </c>
      <c r="F16" s="10" t="s">
        <v>8</v>
      </c>
      <c r="G16" s="11" t="s">
        <v>56</v>
      </c>
      <c r="H16" s="11" t="s">
        <v>56</v>
      </c>
      <c r="I16" s="11">
        <v>70</v>
      </c>
      <c r="J16" s="11">
        <f t="shared" si="1"/>
        <v>86.1</v>
      </c>
      <c r="K16" s="11">
        <v>84</v>
      </c>
      <c r="L16" s="11">
        <f t="shared" si="2"/>
        <v>103.32</v>
      </c>
    </row>
    <row r="17" spans="3:12" ht="30.75" customHeight="1">
      <c r="C17" s="9">
        <v>12</v>
      </c>
      <c r="D17" s="153"/>
      <c r="E17" s="61" t="s">
        <v>68</v>
      </c>
      <c r="F17" s="48" t="s">
        <v>8</v>
      </c>
      <c r="G17" s="11" t="s">
        <v>56</v>
      </c>
      <c r="H17" s="11" t="s">
        <v>56</v>
      </c>
      <c r="I17" s="11">
        <v>70</v>
      </c>
      <c r="J17" s="11">
        <f t="shared" si="1"/>
        <v>86.1</v>
      </c>
      <c r="K17" s="11">
        <v>84</v>
      </c>
      <c r="L17" s="11">
        <f t="shared" si="2"/>
        <v>103.32</v>
      </c>
    </row>
  </sheetData>
  <mergeCells count="13">
    <mergeCell ref="F4:F5"/>
    <mergeCell ref="D6:D12"/>
    <mergeCell ref="D13:D17"/>
    <mergeCell ref="C4:C5"/>
    <mergeCell ref="D4:D5"/>
    <mergeCell ref="E4:E5"/>
    <mergeCell ref="O2:P2"/>
    <mergeCell ref="G4:G5"/>
    <mergeCell ref="H4:H5"/>
    <mergeCell ref="J4:J5"/>
    <mergeCell ref="K4:K5"/>
    <mergeCell ref="L4:L5"/>
    <mergeCell ref="I4:I5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Q51"/>
  <sheetViews>
    <sheetView showGridLines="0" tabSelected="1" zoomScaleNormal="100" workbookViewId="0">
      <selection activeCell="B21" sqref="B21"/>
    </sheetView>
  </sheetViews>
  <sheetFormatPr defaultRowHeight="14.25"/>
  <cols>
    <col min="1" max="1" width="4.375" customWidth="1"/>
    <col min="2" max="2" width="11.375" customWidth="1"/>
    <col min="3" max="3" width="44.875" customWidth="1"/>
    <col min="4" max="4" width="17.25" customWidth="1"/>
    <col min="5" max="6" width="11.625" customWidth="1"/>
    <col min="7" max="9" width="11.625" style="3" customWidth="1"/>
    <col min="10" max="10" width="13.125" customWidth="1"/>
    <col min="11" max="11" width="28.25" customWidth="1"/>
    <col min="12" max="16" width="17.625" customWidth="1"/>
    <col min="17" max="17" width="9" hidden="1" customWidth="1"/>
  </cols>
  <sheetData>
    <row r="1" spans="1:11" ht="23.25" customHeight="1">
      <c r="A1" s="105"/>
      <c r="B1" s="106"/>
      <c r="C1" s="106"/>
      <c r="D1" s="106"/>
      <c r="E1" s="106"/>
      <c r="F1" s="106"/>
      <c r="G1" s="181" t="s">
        <v>132</v>
      </c>
      <c r="H1" s="181"/>
      <c r="I1" s="181"/>
    </row>
    <row r="2" spans="1:11" ht="13.5" customHeight="1">
      <c r="A2" s="182" t="s">
        <v>118</v>
      </c>
      <c r="B2" s="182"/>
      <c r="C2" s="182"/>
      <c r="D2" s="182"/>
      <c r="E2" s="182"/>
      <c r="F2" s="182"/>
      <c r="G2" s="182"/>
      <c r="H2" s="182"/>
      <c r="I2" s="182"/>
      <c r="J2" s="101"/>
    </row>
    <row r="3" spans="1:11" ht="0.75" customHeight="1">
      <c r="A3" s="107"/>
      <c r="B3" s="108"/>
      <c r="C3" s="108"/>
      <c r="D3" s="109"/>
      <c r="E3" s="110"/>
      <c r="F3" s="108"/>
      <c r="G3" s="106"/>
      <c r="H3" s="106"/>
      <c r="I3" s="106"/>
    </row>
    <row r="4" spans="1:11" ht="45.95" customHeight="1">
      <c r="A4" s="111" t="s">
        <v>18</v>
      </c>
      <c r="B4" s="111" t="s">
        <v>13</v>
      </c>
      <c r="C4" s="111" t="s">
        <v>14</v>
      </c>
      <c r="D4" s="112" t="s">
        <v>7</v>
      </c>
      <c r="E4" s="112" t="s">
        <v>117</v>
      </c>
      <c r="F4" s="104" t="s">
        <v>17</v>
      </c>
      <c r="G4" s="112" t="s">
        <v>12</v>
      </c>
      <c r="H4" s="113" t="s">
        <v>15</v>
      </c>
      <c r="I4" s="112" t="s">
        <v>16</v>
      </c>
    </row>
    <row r="5" spans="1:11" ht="23.25" customHeight="1">
      <c r="A5" s="114" t="s">
        <v>121</v>
      </c>
      <c r="B5" s="115" t="s">
        <v>122</v>
      </c>
      <c r="C5" s="116" t="s">
        <v>123</v>
      </c>
      <c r="D5" s="112" t="s">
        <v>124</v>
      </c>
      <c r="E5" s="112" t="s">
        <v>125</v>
      </c>
      <c r="F5" s="104" t="s">
        <v>126</v>
      </c>
      <c r="G5" s="117" t="s">
        <v>128</v>
      </c>
      <c r="H5" s="113" t="s">
        <v>127</v>
      </c>
      <c r="I5" s="117" t="s">
        <v>131</v>
      </c>
    </row>
    <row r="6" spans="1:11" ht="30" customHeight="1">
      <c r="A6" s="118">
        <v>1</v>
      </c>
      <c r="B6" s="183" t="s">
        <v>1</v>
      </c>
      <c r="C6" s="119" t="s">
        <v>139</v>
      </c>
      <c r="D6" s="120" t="s">
        <v>2</v>
      </c>
      <c r="E6" s="121"/>
      <c r="F6" s="120">
        <v>60</v>
      </c>
      <c r="G6" s="122"/>
      <c r="H6" s="123">
        <v>0.23</v>
      </c>
      <c r="I6" s="122"/>
    </row>
    <row r="7" spans="1:11" ht="30" customHeight="1">
      <c r="A7" s="118">
        <v>2</v>
      </c>
      <c r="B7" s="184"/>
      <c r="C7" s="124" t="s">
        <v>115</v>
      </c>
      <c r="D7" s="120" t="s">
        <v>137</v>
      </c>
      <c r="E7" s="121"/>
      <c r="F7" s="120">
        <v>210</v>
      </c>
      <c r="G7" s="122"/>
      <c r="H7" s="123">
        <v>0.23</v>
      </c>
      <c r="I7" s="122"/>
    </row>
    <row r="8" spans="1:11" ht="30" customHeight="1">
      <c r="A8" s="118">
        <v>3</v>
      </c>
      <c r="B8" s="184"/>
      <c r="C8" s="125" t="s">
        <v>116</v>
      </c>
      <c r="D8" s="120" t="s">
        <v>2</v>
      </c>
      <c r="E8" s="121"/>
      <c r="F8" s="120">
        <v>180</v>
      </c>
      <c r="G8" s="122"/>
      <c r="H8" s="123">
        <v>0.23</v>
      </c>
      <c r="I8" s="122"/>
    </row>
    <row r="9" spans="1:11" ht="30" customHeight="1">
      <c r="A9" s="118">
        <v>4</v>
      </c>
      <c r="B9" s="184"/>
      <c r="C9" s="124" t="s">
        <v>140</v>
      </c>
      <c r="D9" s="124" t="s">
        <v>138</v>
      </c>
      <c r="E9" s="121"/>
      <c r="F9" s="120">
        <v>40</v>
      </c>
      <c r="G9" s="122"/>
      <c r="H9" s="123">
        <v>0.23</v>
      </c>
      <c r="I9" s="122"/>
    </row>
    <row r="10" spans="1:11" ht="30" customHeight="1">
      <c r="A10" s="118">
        <v>5</v>
      </c>
      <c r="B10" s="184"/>
      <c r="C10" s="124" t="s">
        <v>27</v>
      </c>
      <c r="D10" s="124" t="s">
        <v>138</v>
      </c>
      <c r="E10" s="121"/>
      <c r="F10" s="124">
        <v>5</v>
      </c>
      <c r="G10" s="122"/>
      <c r="H10" s="123">
        <v>0.23</v>
      </c>
      <c r="I10" s="122"/>
    </row>
    <row r="11" spans="1:11" ht="30" customHeight="1">
      <c r="A11" s="118">
        <v>6</v>
      </c>
      <c r="B11" s="184"/>
      <c r="C11" s="126" t="s">
        <v>3</v>
      </c>
      <c r="D11" s="124" t="s">
        <v>4</v>
      </c>
      <c r="E11" s="121"/>
      <c r="F11" s="120">
        <v>8</v>
      </c>
      <c r="G11" s="122"/>
      <c r="H11" s="123">
        <v>0.23</v>
      </c>
      <c r="I11" s="122"/>
    </row>
    <row r="12" spans="1:11" ht="30" customHeight="1">
      <c r="A12" s="118">
        <v>7</v>
      </c>
      <c r="B12" s="184"/>
      <c r="C12" s="126" t="s">
        <v>114</v>
      </c>
      <c r="D12" s="124" t="s">
        <v>2</v>
      </c>
      <c r="E12" s="121"/>
      <c r="F12" s="120">
        <v>112</v>
      </c>
      <c r="G12" s="122"/>
      <c r="H12" s="123">
        <v>0.23</v>
      </c>
      <c r="I12" s="122"/>
    </row>
    <row r="13" spans="1:11" ht="30" customHeight="1">
      <c r="A13" s="118">
        <v>8</v>
      </c>
      <c r="B13" s="185"/>
      <c r="C13" s="124" t="s">
        <v>119</v>
      </c>
      <c r="D13" s="124" t="s">
        <v>2</v>
      </c>
      <c r="E13" s="121"/>
      <c r="F13" s="120">
        <v>5</v>
      </c>
      <c r="G13" s="122"/>
      <c r="H13" s="123">
        <v>0.23</v>
      </c>
      <c r="I13" s="122"/>
    </row>
    <row r="14" spans="1:11" ht="30" customHeight="1">
      <c r="A14" s="118">
        <v>9</v>
      </c>
      <c r="B14" s="186" t="s">
        <v>6</v>
      </c>
      <c r="C14" s="120" t="s">
        <v>113</v>
      </c>
      <c r="D14" s="124" t="s">
        <v>2</v>
      </c>
      <c r="E14" s="121"/>
      <c r="F14" s="120">
        <f>15*2*1*3</f>
        <v>90</v>
      </c>
      <c r="G14" s="122"/>
      <c r="H14" s="123">
        <v>0.23</v>
      </c>
      <c r="I14" s="122"/>
    </row>
    <row r="15" spans="1:11" ht="30" customHeight="1">
      <c r="A15" s="118">
        <v>10</v>
      </c>
      <c r="B15" s="186"/>
      <c r="C15" s="120" t="s">
        <v>141</v>
      </c>
      <c r="D15" s="124" t="s">
        <v>138</v>
      </c>
      <c r="E15" s="121"/>
      <c r="F15" s="120">
        <v>170</v>
      </c>
      <c r="G15" s="122"/>
      <c r="H15" s="123">
        <v>0.23</v>
      </c>
      <c r="I15" s="122"/>
    </row>
    <row r="16" spans="1:11" ht="30" customHeight="1">
      <c r="A16" s="118">
        <v>11</v>
      </c>
      <c r="B16" s="186"/>
      <c r="C16" s="120" t="s">
        <v>112</v>
      </c>
      <c r="D16" s="124" t="s">
        <v>2</v>
      </c>
      <c r="E16" s="121"/>
      <c r="F16" s="120">
        <f>15*2*1*2</f>
        <v>60</v>
      </c>
      <c r="G16" s="122"/>
      <c r="H16" s="123">
        <v>0.23</v>
      </c>
      <c r="I16" s="122"/>
      <c r="J16" s="1"/>
      <c r="K16" s="1"/>
    </row>
    <row r="17" spans="1:16" ht="30" customHeight="1">
      <c r="A17" s="118">
        <v>12</v>
      </c>
      <c r="B17" s="186"/>
      <c r="C17" s="124" t="s">
        <v>10</v>
      </c>
      <c r="D17" s="124" t="s">
        <v>138</v>
      </c>
      <c r="E17" s="121"/>
      <c r="F17" s="127">
        <v>5</v>
      </c>
      <c r="G17" s="122"/>
      <c r="H17" s="123">
        <v>0.23</v>
      </c>
      <c r="I17" s="122"/>
    </row>
    <row r="18" spans="1:16" ht="30" customHeight="1">
      <c r="A18" s="118">
        <v>13</v>
      </c>
      <c r="B18" s="186"/>
      <c r="C18" s="124" t="s">
        <v>10</v>
      </c>
      <c r="D18" s="128" t="s">
        <v>138</v>
      </c>
      <c r="E18" s="121"/>
      <c r="F18" s="120">
        <v>33</v>
      </c>
      <c r="G18" s="122"/>
      <c r="H18" s="123">
        <v>0.23</v>
      </c>
      <c r="I18" s="122"/>
    </row>
    <row r="19" spans="1:16" ht="30" customHeight="1">
      <c r="A19" s="129">
        <v>14</v>
      </c>
      <c r="B19" s="187" t="s">
        <v>120</v>
      </c>
      <c r="C19" s="188"/>
      <c r="D19" s="189"/>
      <c r="E19" s="130"/>
      <c r="F19" s="131"/>
      <c r="G19" s="132"/>
      <c r="H19" s="133"/>
      <c r="I19" s="134"/>
    </row>
    <row r="20" spans="1:16" ht="14.25" customHeight="1"/>
    <row r="21" spans="1:16" ht="36" customHeight="1">
      <c r="B21" s="135"/>
      <c r="G21" s="103"/>
    </row>
    <row r="22" spans="1:16" ht="29.25" hidden="1" customHeight="1">
      <c r="B22" s="136" t="s">
        <v>142</v>
      </c>
    </row>
    <row r="23" spans="1:16" ht="19.5" customHeight="1"/>
    <row r="24" spans="1:16" ht="24.75" customHeight="1">
      <c r="B24" t="s">
        <v>143</v>
      </c>
      <c r="F24" t="s">
        <v>144</v>
      </c>
    </row>
    <row r="25" spans="1:16" ht="27" customHeight="1">
      <c r="B25" t="s">
        <v>150</v>
      </c>
      <c r="F25" t="s">
        <v>145</v>
      </c>
    </row>
    <row r="26" spans="1:16" ht="54.75" customHeight="1"/>
    <row r="27" spans="1:16" ht="38.25" customHeight="1"/>
    <row r="28" spans="1:16" ht="38.25" customHeight="1">
      <c r="I28"/>
      <c r="J28" s="154"/>
      <c r="K28" s="154"/>
    </row>
    <row r="29" spans="1:16" ht="38.25" customHeight="1">
      <c r="E29" s="1"/>
      <c r="I29"/>
      <c r="J29" s="3"/>
      <c r="K29" s="3"/>
      <c r="L29" s="3"/>
      <c r="M29" s="3"/>
      <c r="N29" s="3"/>
      <c r="O29" s="3"/>
      <c r="P29" s="102"/>
    </row>
    <row r="30" spans="1:16" ht="38.25" customHeight="1">
      <c r="P30" s="102"/>
    </row>
    <row r="31" spans="1:16" ht="38.25" customHeight="1">
      <c r="P31" s="102"/>
    </row>
    <row r="32" spans="1:16" ht="64.5" customHeight="1">
      <c r="P32" s="102"/>
    </row>
    <row r="33" spans="10:16" ht="38.25" customHeight="1">
      <c r="P33" s="102"/>
    </row>
    <row r="34" spans="10:16" ht="38.25" customHeight="1"/>
    <row r="35" spans="10:16" ht="38.25" customHeight="1"/>
    <row r="41" spans="10:16" ht="28.5" customHeight="1"/>
    <row r="42" spans="10:16" ht="12.75" customHeight="1"/>
    <row r="43" spans="10:16" ht="14.1" customHeight="1"/>
    <row r="44" spans="10:16" ht="23.25" customHeight="1"/>
    <row r="45" spans="10:16" ht="39" customHeight="1">
      <c r="J45" s="65"/>
    </row>
    <row r="46" spans="10:16" ht="39" customHeight="1">
      <c r="J46" s="65"/>
    </row>
    <row r="47" spans="10:16" ht="42" customHeight="1"/>
    <row r="48" spans="10:16" ht="42" customHeight="1"/>
    <row r="49" ht="42" customHeight="1"/>
    <row r="50" ht="42" customHeight="1"/>
    <row r="51" ht="42" customHeight="1"/>
  </sheetData>
  <mergeCells count="6">
    <mergeCell ref="J28:K28"/>
    <mergeCell ref="G1:I1"/>
    <mergeCell ref="A2:I2"/>
    <mergeCell ref="B6:B13"/>
    <mergeCell ref="B14:B18"/>
    <mergeCell ref="B19:D19"/>
  </mergeCells>
  <pageMargins left="0.31496062992125984" right="0.31496062992125984" top="0.15748031496062992" bottom="0.15748031496062992" header="0.31496062992125984" footer="0.31496062992125984"/>
  <pageSetup paperSize="9" scale="87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3"/>
  <sheetViews>
    <sheetView zoomScaleNormal="100" workbookViewId="0">
      <selection activeCell="B21" sqref="B21"/>
    </sheetView>
  </sheetViews>
  <sheetFormatPr defaultRowHeight="14.25"/>
  <cols>
    <col min="1" max="1" width="4.25" style="138" customWidth="1"/>
    <col min="2" max="2" width="18.25" style="138" customWidth="1"/>
    <col min="3" max="7" width="15.625" style="138" customWidth="1"/>
    <col min="8" max="8" width="0.125" style="138" customWidth="1"/>
    <col min="9" max="16384" width="9" style="138"/>
  </cols>
  <sheetData>
    <row r="1" spans="1:8" ht="23.25" customHeight="1">
      <c r="A1" s="137"/>
      <c r="B1" s="137"/>
      <c r="C1" s="137"/>
      <c r="D1" s="137"/>
      <c r="E1" s="137"/>
      <c r="F1" s="192" t="s">
        <v>134</v>
      </c>
      <c r="G1" s="192"/>
      <c r="H1" s="192"/>
    </row>
    <row r="2" spans="1:8" ht="15">
      <c r="A2" s="191" t="s">
        <v>129</v>
      </c>
      <c r="B2" s="191"/>
      <c r="C2" s="191"/>
      <c r="D2" s="191"/>
      <c r="E2" s="191"/>
      <c r="F2" s="191"/>
      <c r="G2" s="191"/>
      <c r="H2" s="137"/>
    </row>
    <row r="3" spans="1:8" ht="15">
      <c r="A3" s="137"/>
      <c r="B3" s="137"/>
      <c r="C3" s="137"/>
      <c r="D3" s="137"/>
      <c r="E3" s="137"/>
      <c r="F3" s="137"/>
      <c r="G3" s="137"/>
      <c r="H3" s="137"/>
    </row>
    <row r="4" spans="1:8" ht="24">
      <c r="A4" s="142" t="s">
        <v>18</v>
      </c>
      <c r="B4" s="142" t="s">
        <v>14</v>
      </c>
      <c r="C4" s="142" t="s">
        <v>49</v>
      </c>
      <c r="D4" s="142" t="s">
        <v>17</v>
      </c>
      <c r="E4" s="142" t="s">
        <v>136</v>
      </c>
      <c r="F4" s="143" t="s">
        <v>15</v>
      </c>
      <c r="G4" s="142" t="s">
        <v>16</v>
      </c>
      <c r="H4" s="137"/>
    </row>
    <row r="5" spans="1:8" ht="15">
      <c r="A5" s="142" t="s">
        <v>121</v>
      </c>
      <c r="B5" s="142" t="s">
        <v>122</v>
      </c>
      <c r="C5" s="142" t="s">
        <v>123</v>
      </c>
      <c r="D5" s="142" t="s">
        <v>124</v>
      </c>
      <c r="E5" s="142" t="s">
        <v>130</v>
      </c>
      <c r="F5" s="143" t="s">
        <v>126</v>
      </c>
      <c r="G5" s="142" t="s">
        <v>133</v>
      </c>
      <c r="H5" s="137"/>
    </row>
    <row r="6" spans="1:8" ht="51.75" customHeight="1">
      <c r="A6" s="144">
        <v>1</v>
      </c>
      <c r="B6" s="144" t="s">
        <v>135</v>
      </c>
      <c r="C6" s="144"/>
      <c r="D6" s="144">
        <v>6</v>
      </c>
      <c r="E6" s="145"/>
      <c r="F6" s="146">
        <v>0.23</v>
      </c>
      <c r="G6" s="147"/>
      <c r="H6" s="137"/>
    </row>
    <row r="7" spans="1:8" ht="21" customHeight="1">
      <c r="A7" s="144">
        <v>2</v>
      </c>
      <c r="B7" s="144" t="s">
        <v>120</v>
      </c>
      <c r="C7" s="148"/>
      <c r="D7" s="149"/>
      <c r="E7" s="150"/>
      <c r="F7" s="151"/>
      <c r="G7" s="147"/>
      <c r="H7" s="137"/>
    </row>
    <row r="10" spans="1:8">
      <c r="B10" s="139"/>
      <c r="C10" s="139"/>
      <c r="D10" s="139"/>
      <c r="E10" s="139"/>
      <c r="F10" s="139"/>
      <c r="G10" s="139"/>
    </row>
    <row r="12" spans="1:8">
      <c r="A12" s="140" t="s">
        <v>143</v>
      </c>
      <c r="B12" s="140"/>
      <c r="C12" s="140"/>
      <c r="D12" s="140"/>
      <c r="E12" s="140" t="s">
        <v>148</v>
      </c>
      <c r="F12" s="140"/>
      <c r="G12" s="140"/>
    </row>
    <row r="13" spans="1:8">
      <c r="A13" s="190" t="s">
        <v>147</v>
      </c>
      <c r="B13" s="190"/>
      <c r="C13" s="141"/>
      <c r="D13" s="140" t="s">
        <v>149</v>
      </c>
      <c r="E13" s="140" t="s">
        <v>146</v>
      </c>
      <c r="F13" s="140"/>
    </row>
  </sheetData>
  <mergeCells count="3">
    <mergeCell ref="A13:B13"/>
    <mergeCell ref="A2:G2"/>
    <mergeCell ref="F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OBIKS</vt:lpstr>
      <vt:lpstr>cz.I-środki 15_16</vt:lpstr>
      <vt:lpstr>ceny jednostkowe w umowach</vt:lpstr>
      <vt:lpstr>część I</vt:lpstr>
      <vt:lpstr>część II</vt:lpstr>
      <vt:lpstr>'część I'!Obszar_wydruku</vt:lpstr>
    </vt:vector>
  </TitlesOfParts>
  <Company>zom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ekucharska</cp:lastModifiedBy>
  <cp:lastPrinted>2019-11-08T09:22:06Z</cp:lastPrinted>
  <dcterms:created xsi:type="dcterms:W3CDTF">2013-08-06T06:16:01Z</dcterms:created>
  <dcterms:modified xsi:type="dcterms:W3CDTF">2019-11-08T09:22:21Z</dcterms:modified>
</cp:coreProperties>
</file>